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9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wernerheister/sciebo/WH/Fallstudie Bernard/"/>
    </mc:Choice>
  </mc:AlternateContent>
  <bookViews>
    <workbookView xWindow="4800" yWindow="460" windowWidth="16000" windowHeight="10980" tabRatio="500" firstSheet="3" activeTab="6"/>
  </bookViews>
  <sheets>
    <sheet name="Start" sheetId="2" r:id="rId1"/>
    <sheet name="Agenda" sheetId="1" r:id="rId2"/>
    <sheet name="Kennzahlen" sheetId="3" r:id="rId3"/>
    <sheet name="Umsatzsteuer" sheetId="4" r:id="rId4"/>
    <sheet name="Abschreibung" sheetId="6" r:id="rId5"/>
    <sheet name="Finanzbuchhaltung" sheetId="7" r:id="rId6"/>
    <sheet name="System KoRe" sheetId="11" r:id="rId7"/>
    <sheet name="BAB" sheetId="14" r:id="rId8"/>
    <sheet name="Anbauverfahren" sheetId="13" r:id="rId9"/>
    <sheet name="Stufenleiterverf." sheetId="15" r:id="rId10"/>
    <sheet name="Gleichungsverf." sheetId="12" r:id="rId11"/>
    <sheet name="Divisionskalk." sheetId="16" r:id="rId12"/>
    <sheet name="Äquivalenzzkalk." sheetId="17" r:id="rId13"/>
    <sheet name="ZK BAB" sheetId="20" r:id="rId14"/>
    <sheet name="ZK Einzelk." sheetId="19" r:id="rId15"/>
    <sheet name="ZK Kalk." sheetId="18" r:id="rId16"/>
    <sheet name="DB" sheetId="24" r:id="rId17"/>
    <sheet name="BreakEven" sheetId="23" r:id="rId18"/>
    <sheet name="Stufenw.Fixk.DB_R." sheetId="22" r:id="rId19"/>
    <sheet name="Glossar" sheetId="9" r:id="rId20"/>
    <sheet name="Gliederung" sheetId="10" r:id="rId2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7" i="22" l="1"/>
  <c r="J9" i="22"/>
  <c r="I7" i="22"/>
  <c r="I9" i="22"/>
  <c r="I11" i="22"/>
  <c r="G7" i="22"/>
  <c r="G9" i="22"/>
  <c r="H7" i="22"/>
  <c r="H9" i="22"/>
  <c r="G11" i="22"/>
  <c r="G13" i="22"/>
  <c r="H5" i="18"/>
  <c r="I5" i="20"/>
  <c r="H5" i="20"/>
  <c r="G6" i="20"/>
  <c r="I7" i="20"/>
  <c r="I8" i="20"/>
  <c r="I9" i="20"/>
  <c r="I10" i="20"/>
  <c r="H6" i="18"/>
  <c r="H7" i="18"/>
  <c r="J5" i="20"/>
  <c r="J7" i="20"/>
  <c r="J8" i="20"/>
  <c r="J9" i="20"/>
  <c r="J10" i="20"/>
  <c r="H8" i="18"/>
  <c r="H9" i="18"/>
  <c r="K5" i="20"/>
  <c r="K7" i="20"/>
  <c r="K8" i="20"/>
  <c r="I13" i="20"/>
  <c r="K9" i="20"/>
  <c r="K10" i="20"/>
  <c r="H10" i="18"/>
  <c r="H11" i="18"/>
  <c r="H12" i="18"/>
  <c r="H13" i="18"/>
  <c r="I5" i="18"/>
  <c r="I6" i="18"/>
  <c r="I7" i="18"/>
  <c r="I8" i="18"/>
  <c r="I9" i="18"/>
  <c r="I10" i="18"/>
  <c r="I11" i="18"/>
  <c r="I12" i="18"/>
  <c r="I13" i="18"/>
  <c r="K5" i="18"/>
  <c r="G16" i="19"/>
  <c r="K6" i="18"/>
  <c r="K7" i="18"/>
  <c r="H16" i="19"/>
  <c r="K8" i="18"/>
  <c r="K9" i="18"/>
  <c r="K10" i="18"/>
  <c r="K11" i="18"/>
  <c r="K12" i="18"/>
  <c r="K13" i="18"/>
  <c r="G5" i="18"/>
  <c r="G6" i="18"/>
  <c r="G7" i="18"/>
  <c r="G8" i="18"/>
  <c r="G9" i="18"/>
  <c r="G10" i="18"/>
  <c r="G11" i="18"/>
  <c r="G12" i="18"/>
  <c r="G13" i="18"/>
  <c r="G8" i="20"/>
  <c r="G3" i="20"/>
  <c r="G4" i="20"/>
  <c r="G5" i="20"/>
  <c r="I7" i="17"/>
  <c r="I19" i="17"/>
  <c r="I17" i="17"/>
  <c r="I18" i="17"/>
  <c r="I20" i="17"/>
  <c r="G22" i="17"/>
  <c r="G23" i="17"/>
  <c r="H23" i="17"/>
  <c r="G24" i="17"/>
  <c r="H24" i="17"/>
  <c r="G25" i="17"/>
  <c r="H25" i="17"/>
  <c r="H26" i="17"/>
  <c r="I5" i="17"/>
  <c r="I6" i="17"/>
  <c r="I8" i="17"/>
  <c r="G10" i="17"/>
  <c r="G11" i="17"/>
  <c r="H11" i="17"/>
  <c r="G12" i="17"/>
  <c r="H12" i="17"/>
  <c r="G13" i="17"/>
  <c r="H13" i="17"/>
  <c r="H14" i="17"/>
  <c r="G7" i="16"/>
  <c r="G16" i="16"/>
  <c r="G14" i="16"/>
  <c r="G17" i="16"/>
  <c r="G18" i="16"/>
  <c r="J6" i="15"/>
  <c r="J8" i="15"/>
  <c r="H6" i="15"/>
  <c r="H8" i="15"/>
  <c r="G13" i="15"/>
  <c r="G9" i="15"/>
  <c r="J13" i="15"/>
  <c r="I6" i="15"/>
  <c r="I8" i="15"/>
  <c r="I13" i="15"/>
  <c r="I14" i="15"/>
  <c r="G10" i="15"/>
  <c r="J15" i="15"/>
  <c r="J16" i="15"/>
  <c r="G11" i="15"/>
  <c r="K17" i="15"/>
  <c r="L17" i="15"/>
  <c r="M17" i="15"/>
  <c r="N17" i="15"/>
  <c r="K15" i="15"/>
  <c r="L15" i="15"/>
  <c r="M15" i="15"/>
  <c r="N15" i="15"/>
  <c r="K13" i="15"/>
  <c r="L13" i="15"/>
  <c r="M13" i="15"/>
  <c r="N13" i="15"/>
  <c r="L6" i="15"/>
  <c r="L7" i="15"/>
  <c r="L8" i="15"/>
  <c r="L18" i="15"/>
  <c r="M6" i="15"/>
  <c r="M8" i="15"/>
  <c r="M18" i="15"/>
  <c r="K6" i="15"/>
  <c r="K7" i="15"/>
  <c r="K8" i="15"/>
  <c r="K18" i="15"/>
  <c r="G15" i="15"/>
  <c r="G17" i="15"/>
  <c r="G18" i="15"/>
  <c r="G4" i="15"/>
  <c r="G5" i="15"/>
  <c r="G6" i="15"/>
  <c r="G8" i="15"/>
  <c r="M6" i="14"/>
  <c r="M8" i="14"/>
  <c r="H6" i="14"/>
  <c r="H8" i="14"/>
  <c r="I6" i="14"/>
  <c r="I8" i="14"/>
  <c r="J6" i="14"/>
  <c r="J8" i="14"/>
  <c r="L6" i="14"/>
  <c r="L7" i="14"/>
  <c r="L8" i="14"/>
  <c r="K6" i="14"/>
  <c r="K7" i="14"/>
  <c r="K8" i="14"/>
  <c r="G4" i="14"/>
  <c r="G5" i="14"/>
  <c r="G6" i="14"/>
  <c r="G8" i="14"/>
  <c r="K6" i="13"/>
  <c r="K7" i="13"/>
  <c r="K8" i="13"/>
  <c r="H6" i="13"/>
  <c r="H8" i="13"/>
  <c r="G13" i="13"/>
  <c r="G9" i="13"/>
  <c r="K13" i="13"/>
  <c r="I6" i="13"/>
  <c r="I8" i="13"/>
  <c r="G14" i="13"/>
  <c r="G10" i="13"/>
  <c r="K14" i="13"/>
  <c r="J6" i="13"/>
  <c r="J8" i="13"/>
  <c r="G15" i="13"/>
  <c r="G11" i="13"/>
  <c r="K15" i="13"/>
  <c r="K16" i="13"/>
  <c r="L6" i="13"/>
  <c r="L7" i="13"/>
  <c r="L8" i="13"/>
  <c r="L13" i="13"/>
  <c r="L14" i="13"/>
  <c r="L15" i="13"/>
  <c r="L16" i="13"/>
  <c r="M6" i="13"/>
  <c r="M8" i="13"/>
  <c r="M13" i="13"/>
  <c r="M14" i="13"/>
  <c r="M15" i="13"/>
  <c r="M16" i="13"/>
  <c r="G16" i="13"/>
  <c r="N14" i="13"/>
  <c r="N15" i="13"/>
  <c r="N13" i="13"/>
  <c r="G4" i="13"/>
  <c r="G5" i="13"/>
  <c r="G6" i="13"/>
  <c r="G8" i="13"/>
  <c r="M19" i="11"/>
  <c r="M6" i="11"/>
  <c r="M7" i="11"/>
  <c r="M9" i="11"/>
  <c r="M20" i="11"/>
  <c r="O19" i="11"/>
  <c r="N6" i="11"/>
  <c r="O6" i="11"/>
  <c r="N7" i="11"/>
  <c r="O7" i="11"/>
  <c r="O9" i="11"/>
  <c r="O20" i="11"/>
  <c r="M21" i="11"/>
  <c r="O13" i="11"/>
  <c r="M13" i="11"/>
  <c r="J5" i="7"/>
  <c r="J6" i="7"/>
  <c r="J7" i="7"/>
  <c r="J8" i="7"/>
  <c r="J9" i="7"/>
  <c r="J10" i="7"/>
  <c r="J11" i="7"/>
  <c r="J12" i="7"/>
  <c r="L12" i="7"/>
  <c r="L6" i="7"/>
  <c r="L7" i="7"/>
  <c r="L5" i="7"/>
  <c r="K7" i="7"/>
  <c r="K6" i="7"/>
  <c r="I6" i="7"/>
  <c r="I7" i="7"/>
  <c r="I8" i="7"/>
  <c r="I9" i="7"/>
  <c r="I10" i="7"/>
  <c r="I11" i="7"/>
  <c r="I5" i="7"/>
  <c r="I8" i="6"/>
  <c r="I17" i="6"/>
  <c r="K17" i="6"/>
  <c r="J18" i="6"/>
  <c r="K18" i="6"/>
  <c r="J19" i="6"/>
  <c r="K19" i="6"/>
  <c r="J20" i="6"/>
  <c r="K20" i="6"/>
  <c r="J21" i="6"/>
  <c r="K21" i="6"/>
  <c r="J22" i="6"/>
  <c r="K22" i="6"/>
  <c r="J23" i="6"/>
  <c r="H18" i="6"/>
  <c r="I18" i="6"/>
  <c r="H19" i="6"/>
  <c r="I19" i="6"/>
  <c r="H20" i="6"/>
  <c r="I20" i="6"/>
  <c r="H21" i="6"/>
  <c r="I21" i="6"/>
  <c r="H22" i="6"/>
  <c r="I22" i="6"/>
  <c r="I23" i="6"/>
  <c r="K23" i="6"/>
  <c r="J24" i="6"/>
  <c r="K24" i="6"/>
  <c r="H10" i="6"/>
  <c r="H11" i="6"/>
  <c r="H12" i="6"/>
  <c r="H13" i="6"/>
  <c r="H9" i="6"/>
  <c r="K8" i="6"/>
  <c r="J9" i="6"/>
  <c r="K9" i="6"/>
  <c r="J10" i="6"/>
  <c r="K10" i="6"/>
  <c r="J11" i="6"/>
  <c r="K11" i="6"/>
  <c r="J12" i="6"/>
  <c r="K12" i="6"/>
  <c r="J13" i="6"/>
  <c r="K13" i="6"/>
  <c r="I9" i="6"/>
  <c r="I10" i="6"/>
  <c r="I11" i="6"/>
  <c r="I12" i="6"/>
  <c r="I13" i="6"/>
  <c r="G14" i="4"/>
  <c r="G15" i="4"/>
  <c r="G16" i="4"/>
  <c r="J6" i="4"/>
  <c r="N5" i="4"/>
  <c r="M6" i="4"/>
  <c r="M7" i="4"/>
  <c r="N4" i="4"/>
  <c r="M5" i="4"/>
  <c r="J5" i="4"/>
  <c r="L5" i="4"/>
  <c r="N3" i="4"/>
  <c r="M4" i="4"/>
  <c r="J4" i="4"/>
  <c r="L4" i="4"/>
  <c r="O4" i="4"/>
  <c r="O5" i="4"/>
  <c r="O3" i="4"/>
  <c r="L3" i="4"/>
  <c r="G7" i="4"/>
  <c r="G6" i="4"/>
  <c r="G8" i="4"/>
  <c r="H17" i="3"/>
  <c r="H13" i="3"/>
  <c r="H11" i="3"/>
  <c r="H8" i="3"/>
</calcChain>
</file>

<file path=xl/comments1.xml><?xml version="1.0" encoding="utf-8"?>
<comments xmlns="http://schemas.openxmlformats.org/spreadsheetml/2006/main">
  <authors>
    <author>Prof. Dr. Werner Heister</author>
  </authors>
  <commentList>
    <comment ref="G7" authorId="0">
      <text>
        <r>
          <rPr>
            <b/>
            <sz val="9"/>
            <color indexed="81"/>
            <rFont val="Calibri"/>
            <family val="2"/>
          </rPr>
          <t>Prof. Dr. Werner Heister:</t>
        </r>
        <r>
          <rPr>
            <sz val="9"/>
            <color indexed="81"/>
            <rFont val="Calibri"/>
            <family val="2"/>
          </rPr>
          <t xml:space="preserve">
Kuratorin" Bernard" hilft in KSt Ausst. II aus. Verr. 20.000 € </t>
        </r>
      </text>
    </comment>
  </commentList>
</comments>
</file>

<file path=xl/comments2.xml><?xml version="1.0" encoding="utf-8"?>
<comments xmlns="http://schemas.openxmlformats.org/spreadsheetml/2006/main">
  <authors>
    <author>Prof. Dr. Werner Heister</author>
  </authors>
  <commentList>
    <comment ref="G7" authorId="0">
      <text>
        <r>
          <rPr>
            <b/>
            <sz val="9"/>
            <color indexed="81"/>
            <rFont val="Calibri"/>
            <family val="2"/>
          </rPr>
          <t>Prof. Dr. Werner Heister:</t>
        </r>
        <r>
          <rPr>
            <sz val="9"/>
            <color indexed="81"/>
            <rFont val="Calibri"/>
            <family val="2"/>
          </rPr>
          <t xml:space="preserve">
Kuratorin" Bernard" hilft in KSt Ausst. II aus. Verr. 20.000 € </t>
        </r>
      </text>
    </comment>
  </commentList>
</comments>
</file>

<file path=xl/comments3.xml><?xml version="1.0" encoding="utf-8"?>
<comments xmlns="http://schemas.openxmlformats.org/spreadsheetml/2006/main">
  <authors>
    <author>Prof. Dr. Werner Heister</author>
  </authors>
  <commentList>
    <comment ref="G7" authorId="0">
      <text>
        <r>
          <rPr>
            <b/>
            <sz val="9"/>
            <color indexed="81"/>
            <rFont val="Calibri"/>
            <family val="2"/>
          </rPr>
          <t>Prof. Dr. Werner Heister:</t>
        </r>
        <r>
          <rPr>
            <sz val="9"/>
            <color indexed="81"/>
            <rFont val="Calibri"/>
            <family val="2"/>
          </rPr>
          <t xml:space="preserve">
Kuratorin" Bernard" hilft in KSt Ausst. II aus. Verr. 20.000 € </t>
        </r>
      </text>
    </comment>
  </commentList>
</comments>
</file>

<file path=xl/sharedStrings.xml><?xml version="1.0" encoding="utf-8"?>
<sst xmlns="http://schemas.openxmlformats.org/spreadsheetml/2006/main" count="583" uniqueCount="276">
  <si>
    <t>A</t>
  </si>
  <si>
    <t>B</t>
  </si>
  <si>
    <t>C</t>
  </si>
  <si>
    <t>Agenda</t>
  </si>
  <si>
    <t>Kennzahlen</t>
  </si>
  <si>
    <t>Umsatzsteuer</t>
  </si>
  <si>
    <t>Abschreibung</t>
  </si>
  <si>
    <t>Finanzbuchhaltung</t>
  </si>
  <si>
    <t>Quelle: https://www.kunsthalle-bremen.de</t>
  </si>
  <si>
    <t>Inhalt</t>
  </si>
  <si>
    <t>FiBu</t>
  </si>
  <si>
    <t>Begriff</t>
  </si>
  <si>
    <t>Erläuterung</t>
  </si>
  <si>
    <t>Wirtschaften</t>
  </si>
  <si>
    <t>Entscheidung über knappe Ressourcen angesichts unendlicher Bedürfnisse</t>
  </si>
  <si>
    <t>Effektivität, effektiv</t>
  </si>
  <si>
    <t>Zielorientiert wirtschaften = die richtigen Dinge tun</t>
  </si>
  <si>
    <t>Effizienz, effizient</t>
  </si>
  <si>
    <t>Handlungsorientiert  wirtschaften = die Dinge richtig tun</t>
  </si>
  <si>
    <t>Management</t>
  </si>
  <si>
    <t>Controlling</t>
  </si>
  <si>
    <t>Produktivität</t>
  </si>
  <si>
    <t>Wirtschaftlichkeit</t>
  </si>
  <si>
    <t>Zielgerichtete Gestaltung, Steuerung und Entwicklung eines Unternehmens</t>
  </si>
  <si>
    <t>Managementprozess</t>
  </si>
  <si>
    <t>Standardisierter Ablauf zur Erledigung von Managementaufgaben: 
- Zielformulierung
- Situationsanalyse
- Planung
- Entscheidung
- Umsetzung
- Kontrolle</t>
  </si>
  <si>
    <t>Steuerung = Planung, Informationsversorgung und Kontrolle</t>
  </si>
  <si>
    <t>Operativ</t>
  </si>
  <si>
    <t>Taktisch</t>
  </si>
  <si>
    <t>Strategisch</t>
  </si>
  <si>
    <t>Operativ = kurzfristig (weniger als 1 Jahr), das Tagesgeschäft betreffend, Umsetzung</t>
  </si>
  <si>
    <t>Taktisch = mittelfristig (1 bis 3 oder 5 Jahre, weniger detailliert</t>
  </si>
  <si>
    <t>Strategisch = langfristig (länger als 3 oder 5 Jahre), auf lange Frist, grundlegend</t>
  </si>
  <si>
    <t>Kosten / Nutzen Relation  = Ertrag / Aufwand oder Leistungen / Kosten</t>
  </si>
  <si>
    <t>...</t>
  </si>
  <si>
    <t>Verhältnis zwischen  Produktionsfaktoren und daraus produzierten Gütern = Output / Input</t>
  </si>
  <si>
    <t>Gliederung</t>
  </si>
  <si>
    <t>Betriebswirtschafliche Grundlagen</t>
  </si>
  <si>
    <t>Begriffe</t>
  </si>
  <si>
    <t>1</t>
  </si>
  <si>
    <t>1.1</t>
  </si>
  <si>
    <t>1.2</t>
  </si>
  <si>
    <t>1.3</t>
  </si>
  <si>
    <t>1.4</t>
  </si>
  <si>
    <t>3.1</t>
  </si>
  <si>
    <t>Kostenartenrechnung</t>
  </si>
  <si>
    <t>3.2</t>
  </si>
  <si>
    <t>Kostenstellenrechnung</t>
  </si>
  <si>
    <t>3.3</t>
  </si>
  <si>
    <t>Kostenträgerrechnung</t>
  </si>
  <si>
    <t>3.4</t>
  </si>
  <si>
    <t>Deckungsbeitragsrechnung</t>
  </si>
  <si>
    <t>3.2.1</t>
  </si>
  <si>
    <t>3.2.2</t>
  </si>
  <si>
    <t>3.2.3</t>
  </si>
  <si>
    <t>Anbauverfahren</t>
  </si>
  <si>
    <t>Stufen- / Treppenleiterverfahren</t>
  </si>
  <si>
    <t>Gleichungsverfahren</t>
  </si>
  <si>
    <t>3.3.1</t>
  </si>
  <si>
    <t>3.3.2</t>
  </si>
  <si>
    <t>3.3.3</t>
  </si>
  <si>
    <t>Divisionskalkulation</t>
  </si>
  <si>
    <t>Äquivalenzziffernkalkulation</t>
  </si>
  <si>
    <t>Zuschlagskalkulation</t>
  </si>
  <si>
    <t>Deckungsbeitrag - Direct Costing</t>
  </si>
  <si>
    <t>Break - Even - Point</t>
  </si>
  <si>
    <t>Stufenweise Fixkostendeckungsrechnung</t>
  </si>
  <si>
    <t>3.4.1</t>
  </si>
  <si>
    <t>3.4.2</t>
  </si>
  <si>
    <t>3.4.3</t>
  </si>
  <si>
    <t>Finanzbuchhaltung (Externes Rechnungswesen)</t>
  </si>
  <si>
    <t>Kostenrechnung (Internes Rechnungswesen)</t>
  </si>
  <si>
    <t>Liquidität</t>
  </si>
  <si>
    <t>Bank</t>
  </si>
  <si>
    <t>Kasse</t>
  </si>
  <si>
    <t>Rechnung</t>
  </si>
  <si>
    <t>Summe</t>
  </si>
  <si>
    <t>Fahrer 1</t>
  </si>
  <si>
    <t>Fahrer 2</t>
  </si>
  <si>
    <t>Essen pro Std</t>
  </si>
  <si>
    <t>Rentabilität</t>
  </si>
  <si>
    <t>Kapital</t>
  </si>
  <si>
    <t>Gewinn</t>
  </si>
  <si>
    <t>Rendite, Zins</t>
  </si>
  <si>
    <t>Brutto</t>
  </si>
  <si>
    <t>Netto</t>
  </si>
  <si>
    <t>Ust 19% (Steueranteil)</t>
  </si>
  <si>
    <t>Probe</t>
  </si>
  <si>
    <t>Stufe</t>
  </si>
  <si>
    <t>Bauer</t>
  </si>
  <si>
    <t>Mühle</t>
  </si>
  <si>
    <t>Bäcker</t>
  </si>
  <si>
    <t>Emile Bernard</t>
  </si>
  <si>
    <t>EK netto</t>
  </si>
  <si>
    <t xml:space="preserve">VK netto </t>
  </si>
  <si>
    <t>Mehrwert</t>
  </si>
  <si>
    <t>Vorsteuer</t>
  </si>
  <si>
    <t>Finanzamt</t>
  </si>
  <si>
    <t>7%</t>
  </si>
  <si>
    <t>EB zahlt insgesamt</t>
  </si>
  <si>
    <t>und damit die gesamte Mehrwertsteuer</t>
  </si>
  <si>
    <t>Bei den Unternhemen ist die Mehrwertsteuer nur durchlaufender Posten</t>
  </si>
  <si>
    <t>Ust 3% (Steueranteil)</t>
  </si>
  <si>
    <t>Regierung reduziert Mehrwertsteuer auf 3%:</t>
  </si>
  <si>
    <t>brutto</t>
  </si>
  <si>
    <t>Jahr</t>
  </si>
  <si>
    <t>Abschreibung linear</t>
  </si>
  <si>
    <t>Abschreibung degressiv</t>
  </si>
  <si>
    <t>Betriebsgew. Nutzungsd.</t>
  </si>
  <si>
    <t>5 Jahre</t>
  </si>
  <si>
    <t>VG wird im letzten Jahr aussortiert</t>
  </si>
  <si>
    <t>degressiv</t>
  </si>
  <si>
    <t>Neukauf VG</t>
  </si>
  <si>
    <t>Erstellen Sie kompletten Abschreibungsplan (planmäßige Abschreibung)</t>
  </si>
  <si>
    <t>Buchwert</t>
  </si>
  <si>
    <t>Betrieb fakturiert MwSt %</t>
  </si>
  <si>
    <t>Wird 2 Jahre weiter genutzt:</t>
  </si>
  <si>
    <t>Grundstück</t>
  </si>
  <si>
    <t>Gebäude</t>
  </si>
  <si>
    <t>BGA</t>
  </si>
  <si>
    <t>Wurst</t>
  </si>
  <si>
    <t>Ketchup / Mayo</t>
  </si>
  <si>
    <t xml:space="preserve">Verbindlichkeiten </t>
  </si>
  <si>
    <t>Kredite</t>
  </si>
  <si>
    <t>Erstellen Sie die Bilanz</t>
  </si>
  <si>
    <t>Aktiva</t>
  </si>
  <si>
    <t>Passiva</t>
  </si>
  <si>
    <t>EK</t>
  </si>
  <si>
    <t>System KoRe</t>
  </si>
  <si>
    <t>FiBU</t>
  </si>
  <si>
    <t>KORE</t>
  </si>
  <si>
    <t>Personalaufwand</t>
  </si>
  <si>
    <t>Mietaufwand</t>
  </si>
  <si>
    <t>AfA Gebäude</t>
  </si>
  <si>
    <t>Energieaufwand</t>
  </si>
  <si>
    <t>AfA BGA</t>
  </si>
  <si>
    <t>AfA Fuhrpark</t>
  </si>
  <si>
    <t>Betriebsaufwand KfZ</t>
  </si>
  <si>
    <t>Versicherungsaufwand KfZ</t>
  </si>
  <si>
    <t>Reparaturaufwand KfZ</t>
  </si>
  <si>
    <t>Instandhaltungsaufw. Geb.</t>
  </si>
  <si>
    <t>AfA Anlagen</t>
  </si>
  <si>
    <t>Materialaufwand</t>
  </si>
  <si>
    <t>Unterhaltungsaufw. Anlage</t>
  </si>
  <si>
    <t>Personalkosten</t>
  </si>
  <si>
    <t>Mietkosten</t>
  </si>
  <si>
    <t>Energiekosten</t>
  </si>
  <si>
    <t>Betriebskosten KfZ</t>
  </si>
  <si>
    <t>Reparaturkosten KfZ</t>
  </si>
  <si>
    <t>Versicherungskosten KfZ</t>
  </si>
  <si>
    <t>Materialkosten</t>
  </si>
  <si>
    <t>Instandhaltungskosten Geb.</t>
  </si>
  <si>
    <t>Unterhaltungskosten Anlage</t>
  </si>
  <si>
    <t>Umsatz</t>
  </si>
  <si>
    <t>Verkaufserlös</t>
  </si>
  <si>
    <t>Verkaufsleistungen</t>
  </si>
  <si>
    <t>Mietleistungen</t>
  </si>
  <si>
    <t>Zinsleistungen</t>
  </si>
  <si>
    <t>Spendenleistungen</t>
  </si>
  <si>
    <t>Aufwand</t>
  </si>
  <si>
    <t xml:space="preserve"> Kosten</t>
  </si>
  <si>
    <t xml:space="preserve"> Ertrag</t>
  </si>
  <si>
    <t>Leistungen</t>
  </si>
  <si>
    <t>Kosten zus.</t>
  </si>
  <si>
    <t>Sachkosten</t>
  </si>
  <si>
    <t>Kostenartenrechnung (incl. Sytsem der Kostenrechnung)</t>
  </si>
  <si>
    <t>Wachdienst</t>
  </si>
  <si>
    <t>Reinigungsdienst</t>
  </si>
  <si>
    <t>WaRe Bremen</t>
  </si>
  <si>
    <t>KSt Wachdienst</t>
  </si>
  <si>
    <t>KSt Reinigungsdienst</t>
  </si>
  <si>
    <t>Leistungen Personenstd.</t>
  </si>
  <si>
    <t>Selbstkosten je Std.</t>
  </si>
  <si>
    <r>
      <rPr>
        <b/>
        <sz val="12"/>
        <color rgb="FF990000"/>
        <rFont val="Wingdings"/>
      </rPr>
      <t></t>
    </r>
    <r>
      <rPr>
        <b/>
        <sz val="12"/>
        <color rgb="FF990000"/>
        <rFont val="Calibri"/>
        <scheme val="minor"/>
      </rPr>
      <t xml:space="preserve"> Kostenträgerstückrechnung</t>
    </r>
  </si>
  <si>
    <t>Preis</t>
  </si>
  <si>
    <t>Gew.Ges.</t>
  </si>
  <si>
    <r>
      <rPr>
        <b/>
        <sz val="12"/>
        <color rgb="FF990000"/>
        <rFont val="Wingdings"/>
      </rPr>
      <t></t>
    </r>
    <r>
      <rPr>
        <b/>
        <sz val="12"/>
        <color rgb="FF990000"/>
        <rFont val="Calibri"/>
        <scheme val="minor"/>
      </rPr>
      <t xml:space="preserve"> Kostenträgerzeitrechnung</t>
    </r>
  </si>
  <si>
    <t>BAB</t>
  </si>
  <si>
    <t>Hauptkostenstellen</t>
  </si>
  <si>
    <t>Hilfskostenstellen</t>
  </si>
  <si>
    <t>Kostenart</t>
  </si>
  <si>
    <t>GF</t>
  </si>
  <si>
    <t>Ausst. II</t>
  </si>
  <si>
    <t>Facility</t>
  </si>
  <si>
    <t>Service</t>
  </si>
  <si>
    <t>Pädagogik</t>
  </si>
  <si>
    <t>Ausst.Bernard</t>
  </si>
  <si>
    <t>Sek.Kosten.Ver.</t>
  </si>
  <si>
    <t>Facility - quadratm.</t>
  </si>
  <si>
    <t>-</t>
  </si>
  <si>
    <t>Verteil. Facility</t>
  </si>
  <si>
    <t>Verteil. Service</t>
  </si>
  <si>
    <t>Verteil. Päd.</t>
  </si>
  <si>
    <t xml:space="preserve">Sekundärkostenverrechnung mit dem Anbauverfahren </t>
  </si>
  <si>
    <t>Anbauverfahren (Sekundärkostenrechnung)</t>
  </si>
  <si>
    <t xml:space="preserve">Sekundärkostenverrechnung mit dem Stufenleiterverfahren/Treppenverfahren </t>
  </si>
  <si>
    <t>Zwischensumme</t>
  </si>
  <si>
    <t>Plankosten</t>
  </si>
  <si>
    <t>in T€</t>
  </si>
  <si>
    <t>Team 1</t>
  </si>
  <si>
    <t>Team 2</t>
  </si>
  <si>
    <t xml:space="preserve">A </t>
  </si>
  <si>
    <t xml:space="preserve">B </t>
  </si>
  <si>
    <t>Haupt1</t>
  </si>
  <si>
    <t>Haupt2</t>
  </si>
  <si>
    <t>Primärkosten</t>
  </si>
  <si>
    <t>Stufenleiter-/Treppenverfahren (Sekundärkostenrechnung)</t>
  </si>
  <si>
    <t>Gleichungsverfahren (Sekundärkostenrechnung)</t>
  </si>
  <si>
    <t>Divisionkalkulation</t>
  </si>
  <si>
    <t>Kosten</t>
  </si>
  <si>
    <t>Besucher</t>
  </si>
  <si>
    <t>Selbstkosten</t>
  </si>
  <si>
    <t>Einstufig</t>
  </si>
  <si>
    <t>Mehrstufig</t>
  </si>
  <si>
    <t>Am 1.4. können 100 Besucher an einem Buffet teilnehmen.</t>
  </si>
  <si>
    <t>Bufett verursacht Kosten in Höhe von 888,00 Euro.</t>
  </si>
  <si>
    <t>Teilnehmer</t>
  </si>
  <si>
    <t xml:space="preserve">Kombiticket </t>
  </si>
  <si>
    <t>=</t>
  </si>
  <si>
    <t>=Selbstkosten</t>
  </si>
  <si>
    <t>"Sorten"</t>
  </si>
  <si>
    <t>Rhabarber</t>
  </si>
  <si>
    <t>Kirsch</t>
  </si>
  <si>
    <t>Erdbeer</t>
  </si>
  <si>
    <t>Äquivalenz-
ziffer</t>
  </si>
  <si>
    <t>Gesamtkosten</t>
  </si>
  <si>
    <t>Mengen (l)</t>
  </si>
  <si>
    <t>Einheits-
sorte</t>
  </si>
  <si>
    <t>Selbstkosten je 
Einheitssorte</t>
  </si>
  <si>
    <t>DB</t>
  </si>
  <si>
    <t>Break Even</t>
  </si>
  <si>
    <t>Zuschlagskalkulation: Kalkulation nach Schema</t>
  </si>
  <si>
    <t>Zuschlagskalkulation: Einzelkosten</t>
  </si>
  <si>
    <t>Zuschlagskalkulation: BAB</t>
  </si>
  <si>
    <t>Allg. Kostenstelle</t>
  </si>
  <si>
    <t>Hilfskostenstelle</t>
  </si>
  <si>
    <t>Verrechnung Allg. KSt</t>
  </si>
  <si>
    <t>Verrechnung</t>
  </si>
  <si>
    <t>Aufträge</t>
  </si>
  <si>
    <t>Audi</t>
  </si>
  <si>
    <t>Schulklasse</t>
  </si>
  <si>
    <t>Wacker Chemie</t>
  </si>
  <si>
    <t>Einzelkosten</t>
  </si>
  <si>
    <t>ZUSCHLÄGE</t>
  </si>
  <si>
    <t>Einzelkosten Team 1</t>
  </si>
  <si>
    <t>+</t>
  </si>
  <si>
    <t>Gemeinkostenzuschlag Team 1</t>
  </si>
  <si>
    <t>Einzelkosten Team 2</t>
  </si>
  <si>
    <t>Gemeinkostenzuschlag Team 2</t>
  </si>
  <si>
    <t>Herstellkosten</t>
  </si>
  <si>
    <t>Zuschlag für GF (Gemeinkosten)</t>
  </si>
  <si>
    <t xml:space="preserve">= </t>
  </si>
  <si>
    <t>Gewinnzuschlag</t>
  </si>
  <si>
    <t>Selbstkostenpreis</t>
  </si>
  <si>
    <t>Auftrag 1</t>
  </si>
  <si>
    <t>Auftrag 2</t>
  </si>
  <si>
    <t>Auftrag 3</t>
  </si>
  <si>
    <t>....</t>
  </si>
  <si>
    <t>siehe Folien</t>
  </si>
  <si>
    <t>Erw</t>
  </si>
  <si>
    <t>Eintritt</t>
  </si>
  <si>
    <t>Normal</t>
  </si>
  <si>
    <t>VIP</t>
  </si>
  <si>
    <t>Var. Kosten</t>
  </si>
  <si>
    <t>DB I</t>
  </si>
  <si>
    <t>Kf Leistung</t>
  </si>
  <si>
    <t>DB II</t>
  </si>
  <si>
    <t>Abt.: Päd</t>
  </si>
  <si>
    <t>Leistung: Kinder</t>
  </si>
  <si>
    <t>Kf Abteilung</t>
  </si>
  <si>
    <t>DB III</t>
  </si>
  <si>
    <t>Untern.-Fixk</t>
  </si>
  <si>
    <t>Ergebnis</t>
  </si>
  <si>
    <t>Mietertrag</t>
  </si>
  <si>
    <t>Zinsertrag</t>
  </si>
  <si>
    <t>Spendenertrag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</si>
</sst>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</numFmts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990000"/>
      <name val="Calibri"/>
      <scheme val="minor"/>
    </font>
    <font>
      <b/>
      <sz val="14"/>
      <color rgb="FF990000"/>
      <name val="Calibri"/>
      <scheme val="minor"/>
    </font>
    <font>
      <sz val="14"/>
      <color theme="0"/>
      <name val="Calibri"/>
      <scheme val="minor"/>
    </font>
    <font>
      <b/>
      <sz val="14"/>
      <color theme="0"/>
      <name val="Calibri"/>
      <scheme val="minor"/>
    </font>
    <font>
      <sz val="12"/>
      <color theme="1" tint="0.499984740745262"/>
      <name val="Calibri"/>
      <scheme val="minor"/>
    </font>
    <font>
      <b/>
      <sz val="12"/>
      <color theme="0"/>
      <name val="Calibri"/>
      <family val="2"/>
      <scheme val="minor"/>
    </font>
    <font>
      <strike/>
      <sz val="12"/>
      <color theme="1"/>
      <name val="Calibri"/>
      <scheme val="minor"/>
    </font>
    <font>
      <b/>
      <sz val="12"/>
      <color rgb="FF990000"/>
      <name val="Wingdings"/>
    </font>
    <font>
      <b/>
      <sz val="16"/>
      <color rgb="FF990000"/>
      <name val="Calibri"/>
      <scheme val="minor"/>
    </font>
    <font>
      <sz val="16"/>
      <color theme="1"/>
      <name val="Calibri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10"/>
      <name val="Verdana"/>
    </font>
    <font>
      <b/>
      <sz val="10"/>
      <color rgb="FFDD0806"/>
      <name val="Verdana"/>
    </font>
  </fonts>
  <fills count="7">
    <fill>
      <patternFill patternType="none"/>
    </fill>
    <fill>
      <patternFill patternType="gray125"/>
    </fill>
    <fill>
      <patternFill patternType="solid">
        <fgColor rgb="FF990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22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ck">
        <color rgb="FF80000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800000"/>
      </left>
      <right/>
      <top/>
      <bottom/>
      <diagonal/>
    </border>
    <border>
      <left/>
      <right/>
      <top style="thick">
        <color rgb="FF800000"/>
      </top>
      <bottom/>
      <diagonal/>
    </border>
    <border>
      <left style="thick">
        <color rgb="FF800000"/>
      </left>
      <right/>
      <top style="thick">
        <color rgb="FF80000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5" tint="0.39997558519241921"/>
      </left>
      <right style="thick">
        <color theme="5" tint="0.39997558519241921"/>
      </right>
      <top style="thick">
        <color theme="5" tint="0.39997558519241921"/>
      </top>
      <bottom style="thick">
        <color theme="5" tint="0.39997558519241921"/>
      </bottom>
      <diagonal/>
    </border>
    <border>
      <left style="thick">
        <color theme="5" tint="0.39997558519241921"/>
      </left>
      <right/>
      <top style="thick">
        <color theme="5" tint="0.39997558519241921"/>
      </top>
      <bottom style="thick">
        <color theme="5" tint="0.39997558519241921"/>
      </bottom>
      <diagonal/>
    </border>
    <border>
      <left/>
      <right style="thick">
        <color theme="5" tint="0.39997558519241921"/>
      </right>
      <top style="thick">
        <color theme="5" tint="0.39997558519241921"/>
      </top>
      <bottom style="thick">
        <color theme="5" tint="0.39997558519241921"/>
      </bottom>
      <diagonal/>
    </border>
    <border>
      <left/>
      <right/>
      <top style="thick">
        <color theme="5" tint="0.39997558519241921"/>
      </top>
      <bottom style="thick">
        <color theme="5" tint="0.39997558519241921"/>
      </bottom>
      <diagonal/>
    </border>
  </borders>
  <cellStyleXfs count="84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20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6" fillId="0" borderId="0" xfId="0" applyFont="1"/>
    <xf numFmtId="0" fontId="8" fillId="2" borderId="2" xfId="0" applyFont="1" applyFill="1" applyBorder="1" applyAlignment="1">
      <alignment horizontal="center" vertical="center"/>
    </xf>
    <xf numFmtId="1" fontId="9" fillId="4" borderId="1" xfId="0" quotePrefix="1" applyNumberFormat="1" applyFont="1" applyFill="1" applyBorder="1" applyAlignment="1">
      <alignment horizontal="left"/>
    </xf>
    <xf numFmtId="1" fontId="9" fillId="4" borderId="1" xfId="0" applyNumberFormat="1" applyFont="1" applyFill="1" applyBorder="1" applyAlignment="1">
      <alignment horizontal="left"/>
    </xf>
    <xf numFmtId="44" fontId="0" fillId="0" borderId="0" xfId="33" applyFont="1"/>
    <xf numFmtId="0" fontId="0" fillId="0" borderId="0" xfId="0" applyAlignment="1">
      <alignment horizontal="right"/>
    </xf>
    <xf numFmtId="0" fontId="12" fillId="0" borderId="0" xfId="0" applyFont="1"/>
    <xf numFmtId="44" fontId="12" fillId="0" borderId="0" xfId="33" applyFont="1"/>
    <xf numFmtId="44" fontId="0" fillId="0" borderId="0" xfId="0" applyNumberFormat="1"/>
    <xf numFmtId="10" fontId="0" fillId="0" borderId="0" xfId="34" applyNumberFormat="1" applyFont="1"/>
    <xf numFmtId="0" fontId="0" fillId="0" borderId="0" xfId="0" quotePrefix="1"/>
    <xf numFmtId="0" fontId="8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9" fontId="0" fillId="0" borderId="0" xfId="0" applyNumberFormat="1"/>
    <xf numFmtId="9" fontId="6" fillId="3" borderId="1" xfId="0" applyNumberFormat="1" applyFont="1" applyFill="1" applyBorder="1" applyAlignment="1">
      <alignment horizontal="left"/>
    </xf>
    <xf numFmtId="44" fontId="6" fillId="3" borderId="1" xfId="33" applyFont="1" applyFill="1" applyBorder="1" applyAlignment="1">
      <alignment horizontal="left"/>
    </xf>
    <xf numFmtId="0" fontId="0" fillId="0" borderId="4" xfId="0" applyBorder="1" applyAlignment="1"/>
    <xf numFmtId="14" fontId="0" fillId="0" borderId="0" xfId="0" applyNumberFormat="1"/>
    <xf numFmtId="164" fontId="0" fillId="0" borderId="4" xfId="35" applyNumberFormat="1" applyFont="1" applyBorder="1" applyAlignment="1"/>
    <xf numFmtId="0" fontId="6" fillId="3" borderId="12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44" fontId="0" fillId="0" borderId="14" xfId="0" applyNumberFormat="1" applyBorder="1"/>
    <xf numFmtId="0" fontId="3" fillId="2" borderId="0" xfId="0" applyFont="1" applyFill="1" applyBorder="1" applyAlignment="1">
      <alignment horizontal="center" vertical="center"/>
    </xf>
    <xf numFmtId="0" fontId="0" fillId="0" borderId="0" xfId="0" applyAlignment="1"/>
    <xf numFmtId="0" fontId="8" fillId="2" borderId="16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/>
    </xf>
    <xf numFmtId="0" fontId="15" fillId="0" borderId="0" xfId="0" applyFont="1"/>
    <xf numFmtId="44" fontId="14" fillId="3" borderId="1" xfId="33" applyFont="1" applyFill="1" applyBorder="1" applyAlignment="1">
      <alignment horizontal="center"/>
    </xf>
    <xf numFmtId="44" fontId="15" fillId="0" borderId="0" xfId="33" applyFont="1"/>
    <xf numFmtId="9" fontId="15" fillId="0" borderId="0" xfId="34" applyFont="1"/>
    <xf numFmtId="9" fontId="15" fillId="0" borderId="0" xfId="33" applyNumberFormat="1" applyFont="1"/>
    <xf numFmtId="43" fontId="15" fillId="0" borderId="0" xfId="35" applyFont="1"/>
    <xf numFmtId="164" fontId="15" fillId="0" borderId="0" xfId="35" applyNumberFormat="1" applyFont="1"/>
    <xf numFmtId="9" fontId="14" fillId="3" borderId="1" xfId="33" applyNumberFormat="1" applyFont="1" applyFill="1" applyBorder="1" applyAlignment="1">
      <alignment horizontal="right"/>
    </xf>
    <xf numFmtId="164" fontId="14" fillId="3" borderId="1" xfId="35" applyNumberFormat="1" applyFont="1" applyFill="1" applyBorder="1" applyAlignment="1">
      <alignment horizontal="right"/>
    </xf>
    <xf numFmtId="44" fontId="15" fillId="5" borderId="0" xfId="33" applyFont="1" applyFill="1"/>
    <xf numFmtId="0" fontId="18" fillId="0" borderId="0" xfId="0" applyFont="1"/>
    <xf numFmtId="0" fontId="19" fillId="0" borderId="0" xfId="0" applyFont="1"/>
    <xf numFmtId="44" fontId="6" fillId="3" borderId="1" xfId="33" applyFont="1" applyFill="1" applyBorder="1" applyAlignment="1">
      <alignment horizontal="center"/>
    </xf>
    <xf numFmtId="44" fontId="6" fillId="3" borderId="1" xfId="33" applyFont="1" applyFill="1" applyBorder="1" applyAlignment="1">
      <alignment horizontal="right"/>
    </xf>
    <xf numFmtId="0" fontId="9" fillId="4" borderId="0" xfId="0" applyFont="1" applyFill="1" applyBorder="1" applyAlignment="1">
      <alignment horizontal="center"/>
    </xf>
    <xf numFmtId="0" fontId="9" fillId="4" borderId="0" xfId="0" quotePrefix="1" applyFont="1" applyFill="1" applyBorder="1" applyAlignment="1">
      <alignment horizontal="center"/>
    </xf>
    <xf numFmtId="0" fontId="0" fillId="0" borderId="0" xfId="0" applyAlignment="1">
      <alignment wrapText="1"/>
    </xf>
    <xf numFmtId="0" fontId="11" fillId="4" borderId="1" xfId="0" applyFont="1" applyFill="1" applyBorder="1" applyAlignment="1">
      <alignment horizontal="center" wrapText="1"/>
    </xf>
    <xf numFmtId="0" fontId="6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44" fontId="0" fillId="0" borderId="0" xfId="33" applyFont="1" applyAlignment="1">
      <alignment horizontal="right"/>
    </xf>
    <xf numFmtId="10" fontId="14" fillId="3" borderId="1" xfId="34" applyNumberFormat="1" applyFont="1" applyFill="1" applyBorder="1" applyAlignment="1">
      <alignment horizontal="right"/>
    </xf>
    <xf numFmtId="10" fontId="0" fillId="0" borderId="0" xfId="0" applyNumberFormat="1"/>
    <xf numFmtId="44" fontId="14" fillId="6" borderId="1" xfId="33" applyFont="1" applyFill="1" applyBorder="1" applyAlignment="1">
      <alignment horizontal="center"/>
    </xf>
    <xf numFmtId="44" fontId="14" fillId="6" borderId="1" xfId="33" applyNumberFormat="1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9" fontId="6" fillId="3" borderId="1" xfId="34" applyFont="1" applyFill="1" applyBorder="1" applyAlignment="1">
      <alignment horizontal="right"/>
    </xf>
    <xf numFmtId="0" fontId="0" fillId="0" borderId="18" xfId="0" applyBorder="1" applyAlignment="1">
      <alignment horizontal="center" vertical="center"/>
    </xf>
    <xf numFmtId="44" fontId="0" fillId="0" borderId="18" xfId="33" applyFont="1" applyBorder="1"/>
    <xf numFmtId="0" fontId="0" fillId="0" borderId="0" xfId="0" quotePrefix="1" applyAlignment="1">
      <alignment horizontal="right"/>
    </xf>
    <xf numFmtId="44" fontId="0" fillId="6" borderId="18" xfId="33" applyFont="1" applyFill="1" applyBorder="1"/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  <xf numFmtId="4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44" fontId="14" fillId="3" borderId="2" xfId="33" applyFont="1" applyFill="1" applyBorder="1" applyAlignment="1">
      <alignment horizontal="center"/>
    </xf>
    <xf numFmtId="44" fontId="14" fillId="3" borderId="4" xfId="33" applyFont="1" applyFill="1" applyBorder="1" applyAlignment="1">
      <alignment horizontal="center"/>
    </xf>
    <xf numFmtId="44" fontId="14" fillId="3" borderId="3" xfId="33" applyFont="1" applyFill="1" applyBorder="1" applyAlignment="1">
      <alignment horizontal="center"/>
    </xf>
    <xf numFmtId="44" fontId="14" fillId="3" borderId="2" xfId="33" applyFont="1" applyFill="1" applyBorder="1" applyAlignment="1">
      <alignment horizontal="right"/>
    </xf>
    <xf numFmtId="44" fontId="14" fillId="3" borderId="3" xfId="33" applyFont="1" applyFill="1" applyBorder="1" applyAlignment="1">
      <alignment horizontal="right"/>
    </xf>
    <xf numFmtId="0" fontId="8" fillId="2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44" fontId="0" fillId="0" borderId="19" xfId="33" applyFont="1" applyBorder="1" applyAlignment="1">
      <alignment horizontal="center"/>
    </xf>
    <xf numFmtId="44" fontId="0" fillId="0" borderId="21" xfId="33" applyFont="1" applyBorder="1" applyAlignment="1">
      <alignment horizontal="center"/>
    </xf>
    <xf numFmtId="44" fontId="0" fillId="0" borderId="20" xfId="33" applyFont="1" applyBorder="1" applyAlignment="1">
      <alignment horizontal="center"/>
    </xf>
    <xf numFmtId="0" fontId="8" fillId="2" borderId="1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/>
    </xf>
    <xf numFmtId="0" fontId="6" fillId="0" borderId="8" xfId="0" applyFont="1" applyFill="1" applyBorder="1" applyAlignment="1">
      <alignment horizontal="right" vertical="center"/>
    </xf>
    <xf numFmtId="0" fontId="10" fillId="0" borderId="8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right" vertical="center"/>
    </xf>
    <xf numFmtId="0" fontId="6" fillId="0" borderId="10" xfId="0" applyFont="1" applyFill="1" applyBorder="1" applyAlignment="1">
      <alignment horizontal="right" vertical="center"/>
    </xf>
    <xf numFmtId="0" fontId="6" fillId="0" borderId="11" xfId="0" applyFont="1" applyFill="1" applyBorder="1" applyAlignment="1">
      <alignment horizontal="right" vertical="center"/>
    </xf>
    <xf numFmtId="0" fontId="10" fillId="0" borderId="9" xfId="0" applyFont="1" applyFill="1" applyBorder="1" applyAlignment="1">
      <alignment horizontal="left" vertical="top" wrapText="1"/>
    </xf>
    <xf numFmtId="0" fontId="10" fillId="0" borderId="10" xfId="0" applyFont="1" applyFill="1" applyBorder="1" applyAlignment="1">
      <alignment horizontal="left" vertical="top"/>
    </xf>
    <xf numFmtId="0" fontId="10" fillId="0" borderId="11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1" fontId="9" fillId="4" borderId="2" xfId="0" applyNumberFormat="1" applyFont="1" applyFill="1" applyBorder="1" applyAlignment="1">
      <alignment horizontal="left"/>
    </xf>
    <xf numFmtId="1" fontId="9" fillId="4" borderId="4" xfId="0" applyNumberFormat="1" applyFont="1" applyFill="1" applyBorder="1" applyAlignment="1">
      <alignment horizontal="left"/>
    </xf>
    <xf numFmtId="1" fontId="9" fillId="4" borderId="3" xfId="0" applyNumberFormat="1" applyFont="1" applyFill="1" applyBorder="1" applyAlignment="1">
      <alignment horizontal="left"/>
    </xf>
  </cellXfs>
  <cellStyles count="84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3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7" builtinId="9" hidden="1"/>
    <cellStyle name="Besuchter Link" xfId="39" builtinId="9" hidden="1"/>
    <cellStyle name="Besuchter Link" xfId="41" builtinId="9" hidden="1"/>
    <cellStyle name="Besuchter Link" xfId="43" builtinId="9" hidden="1"/>
    <cellStyle name="Besuchter Link" xfId="45" builtinId="9" hidden="1"/>
    <cellStyle name="Besuchter Link" xfId="47" builtinId="9" hidden="1"/>
    <cellStyle name="Besuchter Link" xfId="49" builtinId="9" hidden="1"/>
    <cellStyle name="Besuchter Link" xfId="51" builtinId="9" hidden="1"/>
    <cellStyle name="Besuchter Link" xfId="53" builtinId="9" hidden="1"/>
    <cellStyle name="Besuchter Link" xfId="55" builtinId="9" hidden="1"/>
    <cellStyle name="Besuchter Link" xfId="57" builtinId="9" hidden="1"/>
    <cellStyle name="Besuchter Link" xfId="59" builtinId="9" hidden="1"/>
    <cellStyle name="Besuchter Link" xfId="61" builtinId="9" hidden="1"/>
    <cellStyle name="Besuchter Link" xfId="63" builtinId="9" hidden="1"/>
    <cellStyle name="Besuchter Link" xfId="65" builtinId="9" hidden="1"/>
    <cellStyle name="Besuchter Link" xfId="67" builtinId="9" hidden="1"/>
    <cellStyle name="Besuchter Link" xfId="69" builtinId="9" hidden="1"/>
    <cellStyle name="Besuchter Link" xfId="71" builtinId="9" hidden="1"/>
    <cellStyle name="Besuchter Link" xfId="73" builtinId="9" hidden="1"/>
    <cellStyle name="Besuchter Link" xfId="75" builtinId="9" hidden="1"/>
    <cellStyle name="Besuchter Link" xfId="77" builtinId="9" hidden="1"/>
    <cellStyle name="Besuchter Link" xfId="79" builtinId="9" hidden="1"/>
    <cellStyle name="Besuchter Link" xfId="81" builtinId="9" hidden="1"/>
    <cellStyle name="Besuchter Link" xfId="83" builtinId="9" hidden="1"/>
    <cellStyle name="Dezimal" xfId="35" builtinId="3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Prozent" xfId="34" builtinId="5"/>
    <cellStyle name="Stand." xfId="0" builtinId="0"/>
    <cellStyle name="Währung" xfId="33" builtinId="4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theme" Target="theme/theme1.xml"/><Relationship Id="rId23" Type="http://schemas.openxmlformats.org/officeDocument/2006/relationships/styles" Target="styles.xml"/><Relationship Id="rId24" Type="http://schemas.openxmlformats.org/officeDocument/2006/relationships/sharedStrings" Target="sharedStrings.xml"/><Relationship Id="rId25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Relationship Id="rId3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hyperlink" Target="#BAB!A1"/><Relationship Id="rId20" Type="http://schemas.openxmlformats.org/officeDocument/2006/relationships/hyperlink" Target="#Stufenw.Fixk.DB_R.!A1"/><Relationship Id="rId21" Type="http://schemas.openxmlformats.org/officeDocument/2006/relationships/hyperlink" Target="#Gliederung!A1"/><Relationship Id="rId10" Type="http://schemas.openxmlformats.org/officeDocument/2006/relationships/hyperlink" Target="#Anbauverfahren!A1"/><Relationship Id="rId11" Type="http://schemas.openxmlformats.org/officeDocument/2006/relationships/hyperlink" Target="#Stufenleiterverf.!A1"/><Relationship Id="rId12" Type="http://schemas.openxmlformats.org/officeDocument/2006/relationships/hyperlink" Target="#Gleichungsverf.!A1"/><Relationship Id="rId13" Type="http://schemas.openxmlformats.org/officeDocument/2006/relationships/hyperlink" Target="#Divisionskalk.!A1"/><Relationship Id="rId14" Type="http://schemas.openxmlformats.org/officeDocument/2006/relationships/hyperlink" Target="#&#196;quivalenzzkalk.!A1"/><Relationship Id="rId15" Type="http://schemas.openxmlformats.org/officeDocument/2006/relationships/hyperlink" Target="#'ZK BAB'!A1"/><Relationship Id="rId16" Type="http://schemas.openxmlformats.org/officeDocument/2006/relationships/hyperlink" Target="#'ZK Einzelk.'!A1"/><Relationship Id="rId17" Type="http://schemas.openxmlformats.org/officeDocument/2006/relationships/hyperlink" Target="#'ZK Kalk.'!A1"/><Relationship Id="rId18" Type="http://schemas.openxmlformats.org/officeDocument/2006/relationships/hyperlink" Target="#DB!A1"/><Relationship Id="rId19" Type="http://schemas.openxmlformats.org/officeDocument/2006/relationships/hyperlink" Target="#BreakEven!A1"/><Relationship Id="rId1" Type="http://schemas.openxmlformats.org/officeDocument/2006/relationships/hyperlink" Target="https://www.kunsthalle-bremen.de" TargetMode="External"/><Relationship Id="rId2" Type="http://schemas.openxmlformats.org/officeDocument/2006/relationships/image" Target="../media/image2.png"/><Relationship Id="rId3" Type="http://schemas.openxmlformats.org/officeDocument/2006/relationships/hyperlink" Target="#Umsatzsteuer!A1"/><Relationship Id="rId4" Type="http://schemas.openxmlformats.org/officeDocument/2006/relationships/image" Target="../media/image3.png"/><Relationship Id="rId5" Type="http://schemas.openxmlformats.org/officeDocument/2006/relationships/hyperlink" Target="#Kennzahlen!A1"/><Relationship Id="rId6" Type="http://schemas.openxmlformats.org/officeDocument/2006/relationships/hyperlink" Target="#Abschreibung!A1"/><Relationship Id="rId7" Type="http://schemas.openxmlformats.org/officeDocument/2006/relationships/hyperlink" Target="#Finanzbuchhaltung!A1"/><Relationship Id="rId8" Type="http://schemas.openxmlformats.org/officeDocument/2006/relationships/hyperlink" Target="#'System KoR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genda!A1"/><Relationship Id="rId4" Type="http://schemas.openxmlformats.org/officeDocument/2006/relationships/image" Target="../media/image3.png"/><Relationship Id="rId1" Type="http://schemas.openxmlformats.org/officeDocument/2006/relationships/hyperlink" Target="https://www.kunsthalle-bremen.de" TargetMode="External"/><Relationship Id="rId2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Agenda!A1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546100</xdr:colOff>
      <xdr:row>32</xdr:row>
      <xdr:rowOff>133350</xdr:rowOff>
    </xdr:to>
    <xdr:pic>
      <xdr:nvPicPr>
        <xdr:cNvPr id="2" name="Bild 1">
          <a:hlinkClick xmlns:r="http://schemas.openxmlformats.org/officeDocument/2006/relationships" r:id="rId1" tooltip="Kunsthalle Bremen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230600" cy="6229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3</xdr:row>
      <xdr:rowOff>12700</xdr:rowOff>
    </xdr:from>
    <xdr:to>
      <xdr:col>2</xdr:col>
      <xdr:colOff>161288</xdr:colOff>
      <xdr:row>3</xdr:row>
      <xdr:rowOff>271780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749300"/>
          <a:ext cx="466090" cy="2590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2</xdr:row>
      <xdr:rowOff>271780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10</xdr:col>
      <xdr:colOff>736600</xdr:colOff>
      <xdr:row>29</xdr:row>
      <xdr:rowOff>76200</xdr:rowOff>
    </xdr:to>
    <xdr:pic>
      <xdr:nvPicPr>
        <xdr:cNvPr id="3" name="Bild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7200" y="939800"/>
          <a:ext cx="9372600" cy="4851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</xdr:colOff>
      <xdr:row>2</xdr:row>
      <xdr:rowOff>114309</xdr:rowOff>
    </xdr:from>
    <xdr:to>
      <xdr:col>21</xdr:col>
      <xdr:colOff>824112</xdr:colOff>
      <xdr:row>18</xdr:row>
      <xdr:rowOff>104022</xdr:rowOff>
    </xdr:to>
    <xdr:pic>
      <xdr:nvPicPr>
        <xdr:cNvPr id="2" name="Bild 1">
          <a:hlinkClick xmlns:r="http://schemas.openxmlformats.org/officeDocument/2006/relationships" r:id="rId1" tooltip="Kunsthalle Bremen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6909" y="546109"/>
          <a:ext cx="5777103" cy="4053713"/>
        </a:xfrm>
        <a:prstGeom prst="rect">
          <a:avLst/>
        </a:prstGeom>
      </xdr:spPr>
    </xdr:pic>
    <xdr:clientData/>
  </xdr:twoCellAnchor>
  <xdr:twoCellAnchor editAs="oneCell">
    <xdr:from>
      <xdr:col>0</xdr:col>
      <xdr:colOff>12698</xdr:colOff>
      <xdr:row>3</xdr:row>
      <xdr:rowOff>12700</xdr:rowOff>
    </xdr:from>
    <xdr:to>
      <xdr:col>2</xdr:col>
      <xdr:colOff>123188</xdr:colOff>
      <xdr:row>4</xdr:row>
      <xdr:rowOff>17780</xdr:rowOff>
    </xdr:to>
    <xdr:pic>
      <xdr:nvPicPr>
        <xdr:cNvPr id="3" name="Bild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98" y="7366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110490</xdr:colOff>
      <xdr:row>3</xdr:row>
      <xdr:rowOff>5080</xdr:rowOff>
    </xdr:to>
    <xdr:pic>
      <xdr:nvPicPr>
        <xdr:cNvPr id="4" name="Bild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9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110490</xdr:colOff>
      <xdr:row>5</xdr:row>
      <xdr:rowOff>5080</xdr:rowOff>
    </xdr:to>
    <xdr:pic>
      <xdr:nvPicPr>
        <xdr:cNvPr id="5" name="Bild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77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110490</xdr:colOff>
      <xdr:row>6</xdr:row>
      <xdr:rowOff>5080</xdr:rowOff>
    </xdr:to>
    <xdr:pic>
      <xdr:nvPicPr>
        <xdr:cNvPr id="6" name="Bild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31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110490</xdr:colOff>
      <xdr:row>7</xdr:row>
      <xdr:rowOff>5080</xdr:rowOff>
    </xdr:to>
    <xdr:pic>
      <xdr:nvPicPr>
        <xdr:cNvPr id="7" name="Bild 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85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2</xdr:col>
      <xdr:colOff>110490</xdr:colOff>
      <xdr:row>8</xdr:row>
      <xdr:rowOff>5080</xdr:rowOff>
    </xdr:to>
    <xdr:pic>
      <xdr:nvPicPr>
        <xdr:cNvPr id="8" name="Bild 7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39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110490</xdr:colOff>
      <xdr:row>9</xdr:row>
      <xdr:rowOff>5080</xdr:rowOff>
    </xdr:to>
    <xdr:pic>
      <xdr:nvPicPr>
        <xdr:cNvPr id="9" name="Bild 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93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2</xdr:col>
      <xdr:colOff>110490</xdr:colOff>
      <xdr:row>10</xdr:row>
      <xdr:rowOff>5080</xdr:rowOff>
    </xdr:to>
    <xdr:pic>
      <xdr:nvPicPr>
        <xdr:cNvPr id="10" name="Bild 9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47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2</xdr:col>
      <xdr:colOff>110490</xdr:colOff>
      <xdr:row>11</xdr:row>
      <xdr:rowOff>5080</xdr:rowOff>
    </xdr:to>
    <xdr:pic>
      <xdr:nvPicPr>
        <xdr:cNvPr id="11" name="Bild 10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01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2</xdr:col>
      <xdr:colOff>110490</xdr:colOff>
      <xdr:row>12</xdr:row>
      <xdr:rowOff>5080</xdr:rowOff>
    </xdr:to>
    <xdr:pic>
      <xdr:nvPicPr>
        <xdr:cNvPr id="12" name="Bild 11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55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110490</xdr:colOff>
      <xdr:row>13</xdr:row>
      <xdr:rowOff>5080</xdr:rowOff>
    </xdr:to>
    <xdr:pic>
      <xdr:nvPicPr>
        <xdr:cNvPr id="13" name="Bild 12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009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2</xdr:col>
      <xdr:colOff>110490</xdr:colOff>
      <xdr:row>14</xdr:row>
      <xdr:rowOff>5080</xdr:rowOff>
    </xdr:to>
    <xdr:pic>
      <xdr:nvPicPr>
        <xdr:cNvPr id="14" name="Bild 13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63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</xdr:col>
      <xdr:colOff>110490</xdr:colOff>
      <xdr:row>15</xdr:row>
      <xdr:rowOff>5080</xdr:rowOff>
    </xdr:to>
    <xdr:pic>
      <xdr:nvPicPr>
        <xdr:cNvPr id="15" name="Bild 14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517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2</xdr:col>
      <xdr:colOff>110490</xdr:colOff>
      <xdr:row>16</xdr:row>
      <xdr:rowOff>5080</xdr:rowOff>
    </xdr:to>
    <xdr:pic>
      <xdr:nvPicPr>
        <xdr:cNvPr id="16" name="Bild 15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71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2</xdr:col>
      <xdr:colOff>110490</xdr:colOff>
      <xdr:row>17</xdr:row>
      <xdr:rowOff>5080</xdr:rowOff>
    </xdr:to>
    <xdr:pic>
      <xdr:nvPicPr>
        <xdr:cNvPr id="17" name="Bild 16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025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2</xdr:col>
      <xdr:colOff>110490</xdr:colOff>
      <xdr:row>18</xdr:row>
      <xdr:rowOff>5080</xdr:rowOff>
    </xdr:to>
    <xdr:pic>
      <xdr:nvPicPr>
        <xdr:cNvPr id="18" name="Bild 17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279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110490</xdr:colOff>
      <xdr:row>19</xdr:row>
      <xdr:rowOff>5080</xdr:rowOff>
    </xdr:to>
    <xdr:pic>
      <xdr:nvPicPr>
        <xdr:cNvPr id="19" name="Bild 18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533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110490</xdr:colOff>
      <xdr:row>20</xdr:row>
      <xdr:rowOff>5080</xdr:rowOff>
    </xdr:to>
    <xdr:pic>
      <xdr:nvPicPr>
        <xdr:cNvPr id="20" name="Bild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7879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466090</xdr:colOff>
      <xdr:row>22</xdr:row>
      <xdr:rowOff>5080</xdr:rowOff>
    </xdr:to>
    <xdr:pic>
      <xdr:nvPicPr>
        <xdr:cNvPr id="23" name="Bild 2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52100" y="5295900"/>
          <a:ext cx="466090" cy="2590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68580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</xdr:colOff>
      <xdr:row>2</xdr:row>
      <xdr:rowOff>114309</xdr:rowOff>
    </xdr:from>
    <xdr:to>
      <xdr:col>21</xdr:col>
      <xdr:colOff>824112</xdr:colOff>
      <xdr:row>18</xdr:row>
      <xdr:rowOff>104022</xdr:rowOff>
    </xdr:to>
    <xdr:pic>
      <xdr:nvPicPr>
        <xdr:cNvPr id="2" name="Bild 1">
          <a:hlinkClick xmlns:r="http://schemas.openxmlformats.org/officeDocument/2006/relationships" r:id="rId1" tooltip="Kunsthalle Bremen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1109" y="584209"/>
          <a:ext cx="5777103" cy="4053713"/>
        </a:xfrm>
        <a:prstGeom prst="rect">
          <a:avLst/>
        </a:prstGeom>
      </xdr:spPr>
    </xdr:pic>
    <xdr:clientData/>
  </xdr:twoCellAnchor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68580</xdr:rowOff>
    </xdr:to>
    <xdr:pic>
      <xdr:nvPicPr>
        <xdr:cNvPr id="23" name="Bild 22">
          <a:hlinkClick xmlns:r="http://schemas.openxmlformats.org/officeDocument/2006/relationships" r:id="rId3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3" name="Bild 2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25400</xdr:rowOff>
    </xdr:from>
    <xdr:to>
      <xdr:col>10</xdr:col>
      <xdr:colOff>462280</xdr:colOff>
      <xdr:row>50</xdr:row>
      <xdr:rowOff>162560</xdr:rowOff>
    </xdr:to>
    <xdr:pic>
      <xdr:nvPicPr>
        <xdr:cNvPr id="3" name="Bild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908300"/>
          <a:ext cx="9326880" cy="69951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2</xdr:row>
      <xdr:rowOff>12700</xdr:rowOff>
    </xdr:from>
    <xdr:to>
      <xdr:col>2</xdr:col>
      <xdr:colOff>161288</xdr:colOff>
      <xdr:row>3</xdr:row>
      <xdr:rowOff>17780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3</xdr:row>
      <xdr:rowOff>12700</xdr:rowOff>
    </xdr:from>
    <xdr:to>
      <xdr:col>2</xdr:col>
      <xdr:colOff>161288</xdr:colOff>
      <xdr:row>3</xdr:row>
      <xdr:rowOff>271780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749300"/>
          <a:ext cx="466090" cy="2590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50798</xdr:colOff>
      <xdr:row>3</xdr:row>
      <xdr:rowOff>12700</xdr:rowOff>
    </xdr:from>
    <xdr:to>
      <xdr:col>2</xdr:col>
      <xdr:colOff>161288</xdr:colOff>
      <xdr:row>3</xdr:row>
      <xdr:rowOff>271780</xdr:rowOff>
    </xdr:to>
    <xdr:pic>
      <xdr:nvPicPr>
        <xdr:cNvPr id="2" name="Bild 1">
          <a:hlinkClick xmlns:r="http://schemas.openxmlformats.org/officeDocument/2006/relationships" r:id="rId1" tooltip="Zur Inhaltsübersich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98" y="482600"/>
          <a:ext cx="466090" cy="259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4"/>
  <sheetViews>
    <sheetView zoomScale="75" zoomScaleNormal="75" zoomScalePageLayoutView="75" workbookViewId="0">
      <selection activeCell="F40" sqref="F40"/>
    </sheetView>
  </sheetViews>
  <sheetFormatPr baseColWidth="10" defaultRowHeight="16" x14ac:dyDescent="0.2"/>
  <sheetData>
    <row r="34" spans="1:1" x14ac:dyDescent="0.2">
      <c r="A34" s="11" t="s">
        <v>8</v>
      </c>
    </row>
  </sheetData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0"/>
  <sheetViews>
    <sheetView topLeftCell="D1" zoomScale="115" zoomScaleNormal="115" zoomScalePageLayoutView="115" workbookViewId="0">
      <selection activeCell="I28" sqref="I28"/>
    </sheetView>
  </sheetViews>
  <sheetFormatPr baseColWidth="10" defaultRowHeight="16" x14ac:dyDescent="0.2"/>
  <cols>
    <col min="1" max="3" width="2.33203125" customWidth="1"/>
    <col min="4" max="4" width="3.1640625" customWidth="1"/>
    <col min="5" max="5" width="4.83203125" customWidth="1"/>
    <col min="6" max="6" width="23.83203125" customWidth="1"/>
    <col min="7" max="7" width="22.6640625" customWidth="1"/>
    <col min="8" max="13" width="18.83203125" customWidth="1"/>
    <col min="14" max="14" width="17.5" bestFit="1" customWidth="1"/>
  </cols>
  <sheetData>
    <row r="1" spans="1:14" ht="17" thickBot="1" x14ac:dyDescent="0.25"/>
    <row r="2" spans="1:14" ht="23" thickTop="1" thickBot="1" x14ac:dyDescent="0.3">
      <c r="A2" s="1" t="s">
        <v>0</v>
      </c>
      <c r="B2" s="4" t="s">
        <v>1</v>
      </c>
      <c r="C2" s="10" t="s">
        <v>2</v>
      </c>
      <c r="H2" s="87" t="s">
        <v>179</v>
      </c>
      <c r="I2" s="88"/>
      <c r="J2" s="89"/>
      <c r="K2" s="90" t="s">
        <v>178</v>
      </c>
      <c r="L2" s="91"/>
      <c r="M2" s="92"/>
    </row>
    <row r="3" spans="1:14" ht="21" thickTop="1" thickBot="1" x14ac:dyDescent="0.3">
      <c r="E3" s="24" t="s">
        <v>0</v>
      </c>
      <c r="F3" s="24" t="s">
        <v>180</v>
      </c>
      <c r="G3" s="24" t="s">
        <v>76</v>
      </c>
      <c r="H3" s="8" t="s">
        <v>183</v>
      </c>
      <c r="I3" s="8" t="s">
        <v>184</v>
      </c>
      <c r="J3" s="8" t="s">
        <v>185</v>
      </c>
      <c r="K3" s="24" t="s">
        <v>186</v>
      </c>
      <c r="L3" s="24" t="s">
        <v>182</v>
      </c>
      <c r="M3" s="24" t="s">
        <v>181</v>
      </c>
      <c r="N3" s="42" t="s">
        <v>87</v>
      </c>
    </row>
    <row r="4" spans="1:14" ht="23" thickTop="1" thickBot="1" x14ac:dyDescent="0.3">
      <c r="E4" s="8">
        <v>1</v>
      </c>
      <c r="F4" s="45" t="s">
        <v>144</v>
      </c>
      <c r="G4" s="45">
        <f>SUM(H4:M4)</f>
        <v>1560000</v>
      </c>
      <c r="H4" s="46">
        <v>180000</v>
      </c>
      <c r="I4" s="46">
        <v>420000</v>
      </c>
      <c r="J4" s="46">
        <v>30000</v>
      </c>
      <c r="K4" s="46">
        <v>350000</v>
      </c>
      <c r="L4" s="46">
        <v>300000</v>
      </c>
      <c r="M4" s="46">
        <v>280000</v>
      </c>
      <c r="N4" s="46"/>
    </row>
    <row r="5" spans="1:14" ht="23" thickTop="1" thickBot="1" x14ac:dyDescent="0.3">
      <c r="A5" s="80" t="s">
        <v>3</v>
      </c>
      <c r="B5" s="81"/>
      <c r="C5" s="82"/>
      <c r="E5" s="8">
        <v>2</v>
      </c>
      <c r="F5" s="45" t="s">
        <v>164</v>
      </c>
      <c r="G5" s="45">
        <f>SUM(H5:M5)</f>
        <v>557000</v>
      </c>
      <c r="H5" s="46">
        <v>70000</v>
      </c>
      <c r="I5" s="46">
        <v>190000</v>
      </c>
      <c r="J5" s="46">
        <v>12000</v>
      </c>
      <c r="K5" s="46">
        <v>60000</v>
      </c>
      <c r="L5" s="46">
        <v>55000</v>
      </c>
      <c r="M5" s="46">
        <v>170000</v>
      </c>
      <c r="N5" s="46"/>
    </row>
    <row r="6" spans="1:14" ht="23" thickTop="1" thickBot="1" x14ac:dyDescent="0.3">
      <c r="E6" s="8">
        <v>3</v>
      </c>
      <c r="F6" s="45" t="s">
        <v>76</v>
      </c>
      <c r="G6" s="45">
        <f>SUM(G4:G5)</f>
        <v>2117000</v>
      </c>
      <c r="H6" s="45">
        <f t="shared" ref="H6:M6" si="0">SUM(H4:H5)</f>
        <v>250000</v>
      </c>
      <c r="I6" s="45">
        <f t="shared" si="0"/>
        <v>610000</v>
      </c>
      <c r="J6" s="45">
        <f t="shared" si="0"/>
        <v>42000</v>
      </c>
      <c r="K6" s="45">
        <f t="shared" si="0"/>
        <v>410000</v>
      </c>
      <c r="L6" s="45">
        <f t="shared" si="0"/>
        <v>355000</v>
      </c>
      <c r="M6" s="45">
        <f t="shared" si="0"/>
        <v>450000</v>
      </c>
      <c r="N6" s="46"/>
    </row>
    <row r="7" spans="1:14" ht="23" thickTop="1" thickBot="1" x14ac:dyDescent="0.3">
      <c r="E7" s="8">
        <v>4</v>
      </c>
      <c r="F7" s="45" t="s">
        <v>187</v>
      </c>
      <c r="G7" s="45">
        <v>20000</v>
      </c>
      <c r="H7" s="46"/>
      <c r="I7" s="46"/>
      <c r="J7" s="46"/>
      <c r="K7" s="46">
        <f>-G7</f>
        <v>-20000</v>
      </c>
      <c r="L7" s="46">
        <f>+G7</f>
        <v>20000</v>
      </c>
      <c r="M7" s="46"/>
      <c r="N7" s="46"/>
    </row>
    <row r="8" spans="1:14" ht="23" thickTop="1" thickBot="1" x14ac:dyDescent="0.3">
      <c r="E8" s="8">
        <v>5</v>
      </c>
      <c r="F8" s="45" t="s">
        <v>76</v>
      </c>
      <c r="G8" s="45">
        <f>+G6</f>
        <v>2117000</v>
      </c>
      <c r="H8" s="45">
        <f>+H6+H7</f>
        <v>250000</v>
      </c>
      <c r="I8" s="45">
        <f t="shared" ref="I8:M8" si="1">+I6+I7</f>
        <v>610000</v>
      </c>
      <c r="J8" s="45">
        <f t="shared" si="1"/>
        <v>42000</v>
      </c>
      <c r="K8" s="45">
        <f t="shared" si="1"/>
        <v>390000</v>
      </c>
      <c r="L8" s="45">
        <f t="shared" si="1"/>
        <v>375000</v>
      </c>
      <c r="M8" s="45">
        <f t="shared" si="1"/>
        <v>450000</v>
      </c>
      <c r="N8" s="46"/>
    </row>
    <row r="9" spans="1:14" ht="23" thickTop="1" thickBot="1" x14ac:dyDescent="0.3">
      <c r="E9" s="8">
        <v>6</v>
      </c>
      <c r="F9" s="45" t="s">
        <v>188</v>
      </c>
      <c r="G9" s="51">
        <f>+I9+J9+K9+L9+M9</f>
        <v>1</v>
      </c>
      <c r="H9" s="53"/>
      <c r="I9" s="47">
        <v>0.05</v>
      </c>
      <c r="J9" s="47">
        <v>0.05</v>
      </c>
      <c r="K9" s="47">
        <v>0.45</v>
      </c>
      <c r="L9" s="47">
        <v>0.3</v>
      </c>
      <c r="M9" s="47">
        <v>0.15</v>
      </c>
      <c r="N9" s="46"/>
    </row>
    <row r="10" spans="1:14" ht="23" thickTop="1" thickBot="1" x14ac:dyDescent="0.3">
      <c r="E10" s="8">
        <v>7</v>
      </c>
      <c r="F10" s="45" t="s">
        <v>184</v>
      </c>
      <c r="G10" s="51">
        <f>+J10+K10+L10+M10</f>
        <v>1</v>
      </c>
      <c r="H10" s="53"/>
      <c r="I10" s="53"/>
      <c r="J10" s="48">
        <v>0.1</v>
      </c>
      <c r="K10" s="48">
        <v>0.45</v>
      </c>
      <c r="L10" s="48">
        <v>0.45</v>
      </c>
      <c r="M10" s="47">
        <v>0</v>
      </c>
      <c r="N10" s="46"/>
    </row>
    <row r="11" spans="1:14" ht="23" thickTop="1" thickBot="1" x14ac:dyDescent="0.3">
      <c r="E11" s="8">
        <v>8</v>
      </c>
      <c r="F11" s="45" t="s">
        <v>185</v>
      </c>
      <c r="G11" s="52">
        <f>+K11+L11</f>
        <v>10</v>
      </c>
      <c r="H11" s="53"/>
      <c r="I11" s="53"/>
      <c r="J11" s="53"/>
      <c r="K11" s="50">
        <v>6</v>
      </c>
      <c r="L11" s="50">
        <v>4</v>
      </c>
      <c r="M11" s="49">
        <v>0</v>
      </c>
      <c r="N11" s="46"/>
    </row>
    <row r="12" spans="1:14" ht="23" thickTop="1" thickBot="1" x14ac:dyDescent="0.3">
      <c r="E12" s="8">
        <v>9</v>
      </c>
      <c r="F12" s="45"/>
      <c r="G12" s="45"/>
      <c r="H12" s="45"/>
      <c r="I12" s="45"/>
      <c r="J12" s="45"/>
      <c r="K12" s="45"/>
      <c r="L12" s="45"/>
      <c r="M12" s="45"/>
      <c r="N12" s="46"/>
    </row>
    <row r="13" spans="1:14" ht="23" thickTop="1" thickBot="1" x14ac:dyDescent="0.3">
      <c r="E13" s="8">
        <v>10</v>
      </c>
      <c r="F13" s="45" t="s">
        <v>190</v>
      </c>
      <c r="G13" s="45">
        <f>+H8</f>
        <v>250000</v>
      </c>
      <c r="H13" s="53"/>
      <c r="I13" s="46">
        <f>+$G$13/$G$9*I9</f>
        <v>12500</v>
      </c>
      <c r="J13" s="46">
        <f t="shared" ref="J13:M13" si="2">+$G$13/$G$9*J9</f>
        <v>12500</v>
      </c>
      <c r="K13" s="46">
        <f t="shared" si="2"/>
        <v>112500</v>
      </c>
      <c r="L13" s="46">
        <f t="shared" si="2"/>
        <v>75000</v>
      </c>
      <c r="M13" s="46">
        <f t="shared" si="2"/>
        <v>37500</v>
      </c>
      <c r="N13" s="46">
        <f>SUM(I13:M13)</f>
        <v>250000</v>
      </c>
    </row>
    <row r="14" spans="1:14" ht="23" thickTop="1" thickBot="1" x14ac:dyDescent="0.3">
      <c r="E14" s="8"/>
      <c r="F14" s="93" t="s">
        <v>196</v>
      </c>
      <c r="G14" s="94"/>
      <c r="H14" s="53"/>
      <c r="I14" s="46">
        <f>+I8+I13</f>
        <v>622500</v>
      </c>
      <c r="J14" s="46"/>
      <c r="K14" s="46"/>
      <c r="L14" s="46"/>
      <c r="M14" s="46"/>
      <c r="N14" s="46"/>
    </row>
    <row r="15" spans="1:14" ht="23" thickTop="1" thickBot="1" x14ac:dyDescent="0.3">
      <c r="E15" s="8">
        <v>11</v>
      </c>
      <c r="F15" s="45" t="s">
        <v>191</v>
      </c>
      <c r="G15" s="45">
        <f>+I8</f>
        <v>610000</v>
      </c>
      <c r="H15" s="53"/>
      <c r="I15" s="53"/>
      <c r="J15" s="46">
        <f>+$I$14/$G$10*J10</f>
        <v>62250</v>
      </c>
      <c r="K15" s="46">
        <f t="shared" ref="K15:M15" si="3">+$I$14/$G$10*K10</f>
        <v>280125</v>
      </c>
      <c r="L15" s="46">
        <f t="shared" si="3"/>
        <v>280125</v>
      </c>
      <c r="M15" s="46">
        <f t="shared" si="3"/>
        <v>0</v>
      </c>
      <c r="N15" s="46">
        <f>SUM(J15:M15)</f>
        <v>622500</v>
      </c>
    </row>
    <row r="16" spans="1:14" ht="23" thickTop="1" thickBot="1" x14ac:dyDescent="0.3">
      <c r="E16" s="8"/>
      <c r="F16" s="93" t="s">
        <v>196</v>
      </c>
      <c r="G16" s="94"/>
      <c r="H16" s="53"/>
      <c r="I16" s="53"/>
      <c r="J16" s="46">
        <f>+J8+J13+J15</f>
        <v>116750</v>
      </c>
      <c r="K16" s="46"/>
      <c r="L16" s="46"/>
      <c r="M16" s="46"/>
      <c r="N16" s="46"/>
    </row>
    <row r="17" spans="5:14" ht="23" thickTop="1" thickBot="1" x14ac:dyDescent="0.3">
      <c r="E17" s="8">
        <v>12</v>
      </c>
      <c r="F17" s="45" t="s">
        <v>192</v>
      </c>
      <c r="G17" s="45">
        <f>+J8</f>
        <v>42000</v>
      </c>
      <c r="H17" s="53"/>
      <c r="I17" s="53"/>
      <c r="J17" s="53"/>
      <c r="K17" s="46">
        <f>+$J$16/$G$11*K11</f>
        <v>70050</v>
      </c>
      <c r="L17" s="46">
        <f t="shared" ref="L17:M17" si="4">+$J$16/$G$11*L11</f>
        <v>46700</v>
      </c>
      <c r="M17" s="46">
        <f t="shared" si="4"/>
        <v>0</v>
      </c>
      <c r="N17" s="46">
        <f>SUM(K17:M17)</f>
        <v>116750</v>
      </c>
    </row>
    <row r="18" spans="5:14" ht="23" thickTop="1" thickBot="1" x14ac:dyDescent="0.3">
      <c r="E18" s="8">
        <v>13</v>
      </c>
      <c r="F18" s="45" t="s">
        <v>76</v>
      </c>
      <c r="G18" s="45">
        <f>SUM(H18:M18)</f>
        <v>2117000</v>
      </c>
      <c r="H18" s="45">
        <v>0</v>
      </c>
      <c r="I18" s="45">
        <v>0</v>
      </c>
      <c r="J18" s="45">
        <v>0</v>
      </c>
      <c r="K18" s="45">
        <f>+K8+K13+K15+K17</f>
        <v>852675</v>
      </c>
      <c r="L18" s="45">
        <f t="shared" ref="L18:M18" si="5">+L8+L13+L15+L17</f>
        <v>776825</v>
      </c>
      <c r="M18" s="45">
        <f t="shared" si="5"/>
        <v>487500</v>
      </c>
      <c r="N18" s="46"/>
    </row>
    <row r="19" spans="5:14" ht="23" thickTop="1" thickBot="1" x14ac:dyDescent="0.3">
      <c r="E19" s="8">
        <v>14</v>
      </c>
      <c r="F19" s="87" t="s">
        <v>195</v>
      </c>
      <c r="G19" s="88"/>
      <c r="H19" s="88"/>
      <c r="I19" s="88"/>
      <c r="J19" s="88"/>
      <c r="K19" s="88"/>
      <c r="L19" s="88"/>
      <c r="M19" s="89"/>
      <c r="N19" s="46"/>
    </row>
    <row r="20" spans="5:14" ht="17" thickTop="1" x14ac:dyDescent="0.2"/>
  </sheetData>
  <mergeCells count="6">
    <mergeCell ref="H2:J2"/>
    <mergeCell ref="K2:M2"/>
    <mergeCell ref="A5:C5"/>
    <mergeCell ref="F19:M19"/>
    <mergeCell ref="F14:G14"/>
    <mergeCell ref="F16:G16"/>
  </mergeCells>
  <pageMargins left="0.75" right="0.75" top="1" bottom="1" header="0.5" footer="0.5"/>
  <pageSetup paperSize="9" orientation="portrait" horizontalDpi="4294967292" verticalDpi="4294967292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topLeftCell="E1" workbookViewId="0">
      <selection activeCell="P10" sqref="P10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7" max="7" width="13.1640625" bestFit="1" customWidth="1"/>
    <col min="8" max="8" width="11.6640625" bestFit="1" customWidth="1"/>
    <col min="9" max="10" width="12.1640625" bestFit="1" customWidth="1"/>
  </cols>
  <sheetData>
    <row r="1" spans="1:15" ht="18" thickTop="1" thickBot="1" x14ac:dyDescent="0.25">
      <c r="A1" s="1" t="s">
        <v>0</v>
      </c>
      <c r="B1" s="4" t="s">
        <v>1</v>
      </c>
      <c r="C1" s="10" t="s">
        <v>2</v>
      </c>
    </row>
    <row r="2" spans="1:15" ht="21" thickTop="1" thickBot="1" x14ac:dyDescent="0.3">
      <c r="E2" s="24" t="s">
        <v>0</v>
      </c>
      <c r="G2" s="87" t="s">
        <v>177</v>
      </c>
      <c r="H2" s="89"/>
      <c r="I2" s="55"/>
      <c r="J2" s="54"/>
      <c r="K2" s="54"/>
      <c r="L2" s="54"/>
      <c r="M2" s="54"/>
      <c r="N2" s="54"/>
    </row>
    <row r="3" spans="1:15" ht="21" thickTop="1" thickBot="1" x14ac:dyDescent="0.3">
      <c r="E3" s="8">
        <v>1</v>
      </c>
      <c r="G3" s="87" t="s">
        <v>197</v>
      </c>
      <c r="H3" s="89"/>
      <c r="I3" s="54"/>
      <c r="J3" s="54"/>
      <c r="K3" s="54"/>
      <c r="L3" s="54"/>
      <c r="M3" s="54"/>
      <c r="N3" s="54"/>
    </row>
    <row r="4" spans="1:15" ht="21" thickTop="1" thickBot="1" x14ac:dyDescent="0.3">
      <c r="A4" s="80" t="s">
        <v>3</v>
      </c>
      <c r="B4" s="81"/>
      <c r="C4" s="82"/>
      <c r="G4" s="87" t="s">
        <v>198</v>
      </c>
      <c r="H4" s="89"/>
      <c r="I4" s="95" t="s">
        <v>179</v>
      </c>
      <c r="J4" s="96"/>
      <c r="K4" s="75" t="s">
        <v>178</v>
      </c>
      <c r="L4" s="97"/>
      <c r="M4" s="97"/>
      <c r="N4" s="54"/>
      <c r="O4" s="54"/>
    </row>
    <row r="5" spans="1:15" ht="21" thickTop="1" thickBot="1" x14ac:dyDescent="0.3">
      <c r="G5" s="8"/>
      <c r="I5" s="8" t="s">
        <v>0</v>
      </c>
      <c r="J5" s="8" t="s">
        <v>1</v>
      </c>
      <c r="K5" s="8" t="s">
        <v>203</v>
      </c>
      <c r="L5" s="8" t="s">
        <v>204</v>
      </c>
      <c r="M5" s="8" t="s">
        <v>181</v>
      </c>
      <c r="N5" s="54"/>
    </row>
    <row r="6" spans="1:15" ht="21" thickTop="1" thickBot="1" x14ac:dyDescent="0.3">
      <c r="G6" s="8"/>
      <c r="H6" s="56" t="s">
        <v>205</v>
      </c>
      <c r="I6" s="56">
        <v>10000</v>
      </c>
      <c r="J6" s="56">
        <v>20000</v>
      </c>
      <c r="K6" s="10"/>
      <c r="L6" s="10"/>
      <c r="M6" s="10"/>
      <c r="N6" s="54"/>
    </row>
    <row r="7" spans="1:15" ht="21" thickTop="1" thickBot="1" x14ac:dyDescent="0.3">
      <c r="F7" s="8" t="s">
        <v>162</v>
      </c>
      <c r="G7" s="8" t="s">
        <v>201</v>
      </c>
      <c r="H7" s="8">
        <v>50000</v>
      </c>
      <c r="I7" s="8">
        <v>0</v>
      </c>
      <c r="J7" s="8">
        <v>8000</v>
      </c>
      <c r="K7" s="87">
        <v>42000</v>
      </c>
      <c r="L7" s="88"/>
      <c r="M7" s="89"/>
      <c r="N7" s="54"/>
    </row>
    <row r="8" spans="1:15" ht="21" thickTop="1" thickBot="1" x14ac:dyDescent="0.3">
      <c r="F8" s="8" t="s">
        <v>162</v>
      </c>
      <c r="G8" s="8" t="s">
        <v>202</v>
      </c>
      <c r="H8" s="8">
        <v>12000</v>
      </c>
      <c r="I8" s="8">
        <v>3000</v>
      </c>
      <c r="J8" s="8">
        <v>0</v>
      </c>
      <c r="K8" s="87">
        <v>9000</v>
      </c>
      <c r="L8" s="88"/>
      <c r="M8" s="89"/>
      <c r="N8" s="54"/>
    </row>
    <row r="9" spans="1:15" ht="18" thickTop="1" thickBot="1" x14ac:dyDescent="0.25"/>
    <row r="10" spans="1:15" ht="21" thickTop="1" thickBot="1" x14ac:dyDescent="0.3">
      <c r="G10" s="87" t="s">
        <v>177</v>
      </c>
      <c r="H10" s="89"/>
      <c r="I10" s="55"/>
      <c r="J10" s="54"/>
      <c r="K10" s="54"/>
      <c r="L10" s="54"/>
      <c r="M10" s="54"/>
    </row>
    <row r="11" spans="1:15" ht="21" thickTop="1" thickBot="1" x14ac:dyDescent="0.3">
      <c r="G11" s="87" t="s">
        <v>197</v>
      </c>
      <c r="H11" s="89"/>
      <c r="I11" s="54"/>
      <c r="J11" s="54"/>
      <c r="K11" s="54"/>
      <c r="L11" s="54"/>
      <c r="M11" s="54"/>
    </row>
    <row r="12" spans="1:15" ht="21" thickTop="1" thickBot="1" x14ac:dyDescent="0.3">
      <c r="G12" s="87" t="s">
        <v>198</v>
      </c>
      <c r="H12" s="89"/>
      <c r="I12" s="95" t="s">
        <v>179</v>
      </c>
      <c r="J12" s="96"/>
      <c r="K12" s="75" t="s">
        <v>178</v>
      </c>
      <c r="L12" s="97"/>
      <c r="M12" s="97"/>
    </row>
    <row r="13" spans="1:15" ht="21" thickTop="1" thickBot="1" x14ac:dyDescent="0.3">
      <c r="G13" s="8"/>
      <c r="I13" s="8" t="s">
        <v>0</v>
      </c>
      <c r="J13" s="8" t="s">
        <v>1</v>
      </c>
      <c r="K13" s="8" t="s">
        <v>203</v>
      </c>
      <c r="L13" s="8" t="s">
        <v>204</v>
      </c>
      <c r="M13" s="8" t="s">
        <v>181</v>
      </c>
    </row>
    <row r="14" spans="1:15" ht="21" thickTop="1" thickBot="1" x14ac:dyDescent="0.3">
      <c r="G14" s="8"/>
      <c r="H14" s="56" t="s">
        <v>205</v>
      </c>
      <c r="I14" s="56">
        <v>2000</v>
      </c>
      <c r="J14" s="56">
        <v>4000</v>
      </c>
      <c r="K14" s="10"/>
      <c r="L14" s="10"/>
      <c r="M14" s="10"/>
    </row>
    <row r="15" spans="1:15" ht="21" thickTop="1" thickBot="1" x14ac:dyDescent="0.3">
      <c r="F15" s="8" t="s">
        <v>162</v>
      </c>
      <c r="G15" s="8" t="s">
        <v>201</v>
      </c>
      <c r="H15" s="8">
        <v>40000</v>
      </c>
      <c r="I15" s="8">
        <v>0</v>
      </c>
      <c r="J15" s="8">
        <v>20000</v>
      </c>
      <c r="K15" s="87">
        <v>20000</v>
      </c>
      <c r="L15" s="88"/>
      <c r="M15" s="89"/>
    </row>
    <row r="16" spans="1:15" ht="21" thickTop="1" thickBot="1" x14ac:dyDescent="0.3">
      <c r="F16" s="8" t="s">
        <v>162</v>
      </c>
      <c r="G16" s="8" t="s">
        <v>202</v>
      </c>
      <c r="H16" s="8">
        <v>20000</v>
      </c>
      <c r="I16" s="8">
        <v>10000</v>
      </c>
      <c r="J16" s="8">
        <v>0</v>
      </c>
      <c r="K16" s="87">
        <v>10000</v>
      </c>
      <c r="L16" s="88"/>
      <c r="M16" s="89"/>
    </row>
    <row r="17" ht="17" thickTop="1" x14ac:dyDescent="0.2"/>
  </sheetData>
  <mergeCells count="15">
    <mergeCell ref="K15:M15"/>
    <mergeCell ref="K16:M16"/>
    <mergeCell ref="G3:H3"/>
    <mergeCell ref="G2:H2"/>
    <mergeCell ref="G4:H4"/>
    <mergeCell ref="G10:H10"/>
    <mergeCell ref="G11:H11"/>
    <mergeCell ref="G12:H12"/>
    <mergeCell ref="I12:J12"/>
    <mergeCell ref="K12:M12"/>
    <mergeCell ref="A4:C4"/>
    <mergeCell ref="K7:M7"/>
    <mergeCell ref="K8:M8"/>
    <mergeCell ref="I4:J4"/>
    <mergeCell ref="K4:M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topLeftCell="B5" zoomScale="175" zoomScaleNormal="175" zoomScalePageLayoutView="175" workbookViewId="0">
      <selection activeCell="F19" sqref="F19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11" width="22.6640625" customWidth="1"/>
  </cols>
  <sheetData>
    <row r="1" spans="1:7" ht="18" thickTop="1" thickBot="1" x14ac:dyDescent="0.25">
      <c r="A1" s="1" t="s">
        <v>0</v>
      </c>
      <c r="B1" s="4" t="s">
        <v>1</v>
      </c>
      <c r="C1" s="10" t="s">
        <v>2</v>
      </c>
    </row>
    <row r="2" spans="1:7" ht="21" thickTop="1" thickBot="1" x14ac:dyDescent="0.25">
      <c r="E2" s="24" t="s">
        <v>0</v>
      </c>
      <c r="F2" s="24"/>
    </row>
    <row r="3" spans="1:7" ht="21" thickTop="1" thickBot="1" x14ac:dyDescent="0.3">
      <c r="E3" s="8">
        <v>1</v>
      </c>
      <c r="F3" s="10"/>
    </row>
    <row r="4" spans="1:7" ht="18" thickTop="1" thickBot="1" x14ac:dyDescent="0.25">
      <c r="A4" s="80" t="s">
        <v>3</v>
      </c>
      <c r="B4" s="81"/>
      <c r="C4" s="82"/>
    </row>
    <row r="5" spans="1:7" ht="21" thickTop="1" thickBot="1" x14ac:dyDescent="0.3">
      <c r="D5" s="24" t="s">
        <v>212</v>
      </c>
      <c r="F5" s="8" t="s">
        <v>209</v>
      </c>
      <c r="G5" s="57">
        <v>4000000</v>
      </c>
    </row>
    <row r="6" spans="1:7" ht="21" thickTop="1" thickBot="1" x14ac:dyDescent="0.3">
      <c r="F6" s="8" t="s">
        <v>210</v>
      </c>
      <c r="G6" s="25">
        <v>380000</v>
      </c>
    </row>
    <row r="7" spans="1:7" ht="21" thickTop="1" thickBot="1" x14ac:dyDescent="0.3">
      <c r="F7" s="8" t="s">
        <v>211</v>
      </c>
      <c r="G7" s="56">
        <f>+G5/G6</f>
        <v>10.526315789473685</v>
      </c>
    </row>
    <row r="8" spans="1:7" ht="18" thickTop="1" thickBot="1" x14ac:dyDescent="0.25"/>
    <row r="9" spans="1:7" ht="21" thickTop="1" thickBot="1" x14ac:dyDescent="0.25">
      <c r="D9" s="24" t="s">
        <v>213</v>
      </c>
      <c r="F9" t="s">
        <v>214</v>
      </c>
    </row>
    <row r="10" spans="1:7" ht="17" thickTop="1" x14ac:dyDescent="0.2">
      <c r="F10" t="s">
        <v>215</v>
      </c>
    </row>
    <row r="11" spans="1:7" ht="17" thickBot="1" x14ac:dyDescent="0.25"/>
    <row r="12" spans="1:7" ht="21" thickTop="1" thickBot="1" x14ac:dyDescent="0.3">
      <c r="F12" s="8" t="s">
        <v>209</v>
      </c>
      <c r="G12" s="57">
        <v>888</v>
      </c>
    </row>
    <row r="13" spans="1:7" ht="21" thickTop="1" thickBot="1" x14ac:dyDescent="0.3">
      <c r="F13" s="8" t="s">
        <v>216</v>
      </c>
      <c r="G13" s="25">
        <v>100</v>
      </c>
    </row>
    <row r="14" spans="1:7" ht="21" thickTop="1" thickBot="1" x14ac:dyDescent="0.3">
      <c r="F14" s="8" t="s">
        <v>211</v>
      </c>
      <c r="G14" s="56">
        <f>+G12/G13</f>
        <v>8.8800000000000008</v>
      </c>
    </row>
    <row r="15" spans="1:7" ht="18" thickTop="1" thickBot="1" x14ac:dyDescent="0.25"/>
    <row r="16" spans="1:7" ht="21" thickTop="1" thickBot="1" x14ac:dyDescent="0.3">
      <c r="F16" s="58" t="s">
        <v>217</v>
      </c>
      <c r="G16" s="56">
        <f>+G7</f>
        <v>10.526315789473685</v>
      </c>
    </row>
    <row r="17" spans="6:7" ht="18" thickTop="1" thickBot="1" x14ac:dyDescent="0.25">
      <c r="G17" s="56">
        <f>+G14</f>
        <v>8.8800000000000008</v>
      </c>
    </row>
    <row r="18" spans="6:7" ht="21" thickTop="1" thickBot="1" x14ac:dyDescent="0.3">
      <c r="F18" s="59" t="s">
        <v>219</v>
      </c>
      <c r="G18" s="56">
        <f>+G16+G17</f>
        <v>19.406315789473688</v>
      </c>
    </row>
    <row r="19" spans="6:7" ht="17" thickTop="1" x14ac:dyDescent="0.2"/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opLeftCell="A2" zoomScale="200" zoomScaleNormal="200" zoomScalePageLayoutView="200" workbookViewId="0">
      <selection activeCell="I8" sqref="I8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6" width="22.6640625" customWidth="1"/>
    <col min="9" max="9" width="10.83203125" customWidth="1"/>
  </cols>
  <sheetData>
    <row r="1" spans="1:11" ht="18" thickTop="1" thickBot="1" x14ac:dyDescent="0.25">
      <c r="A1" s="1" t="s">
        <v>0</v>
      </c>
      <c r="B1" s="4" t="s">
        <v>1</v>
      </c>
      <c r="C1" s="10" t="s">
        <v>2</v>
      </c>
    </row>
    <row r="2" spans="1:11" ht="21" thickTop="1" thickBot="1" x14ac:dyDescent="0.25">
      <c r="E2" s="24" t="s">
        <v>0</v>
      </c>
      <c r="F2" s="24" t="s">
        <v>0</v>
      </c>
      <c r="H2" s="75" t="s">
        <v>62</v>
      </c>
      <c r="I2" s="97"/>
      <c r="J2" s="97"/>
      <c r="K2" s="97"/>
    </row>
    <row r="3" spans="1:11" ht="21" thickTop="1" thickBot="1" x14ac:dyDescent="0.3">
      <c r="E3" s="8">
        <v>1</v>
      </c>
      <c r="F3" s="10" t="s">
        <v>220</v>
      </c>
    </row>
    <row r="4" spans="1:11" ht="34" thickTop="1" thickBot="1" x14ac:dyDescent="0.25">
      <c r="A4" s="80" t="s">
        <v>3</v>
      </c>
      <c r="B4" s="81"/>
      <c r="C4" s="82"/>
      <c r="G4" s="61" t="s">
        <v>224</v>
      </c>
      <c r="H4" s="61" t="s">
        <v>226</v>
      </c>
      <c r="I4" s="61" t="s">
        <v>227</v>
      </c>
    </row>
    <row r="5" spans="1:11" ht="18" thickTop="1" thickBot="1" x14ac:dyDescent="0.25">
      <c r="F5" s="10" t="s">
        <v>221</v>
      </c>
      <c r="G5">
        <v>1.5</v>
      </c>
      <c r="H5">
        <v>100</v>
      </c>
      <c r="I5">
        <f>+H5*G5</f>
        <v>150</v>
      </c>
    </row>
    <row r="6" spans="1:11" ht="18" thickTop="1" thickBot="1" x14ac:dyDescent="0.25">
      <c r="F6" s="10" t="s">
        <v>222</v>
      </c>
      <c r="G6">
        <v>2</v>
      </c>
      <c r="H6">
        <v>300</v>
      </c>
      <c r="I6">
        <f>+H6*G6</f>
        <v>600</v>
      </c>
    </row>
    <row r="7" spans="1:11" ht="18" thickTop="1" thickBot="1" x14ac:dyDescent="0.25">
      <c r="F7" s="10" t="s">
        <v>223</v>
      </c>
      <c r="G7">
        <v>1</v>
      </c>
      <c r="H7">
        <v>400</v>
      </c>
      <c r="I7">
        <f>+G7*H7</f>
        <v>400</v>
      </c>
    </row>
    <row r="8" spans="1:11" ht="17" thickTop="1" x14ac:dyDescent="0.2">
      <c r="H8" t="s">
        <v>76</v>
      </c>
      <c r="I8">
        <f>SUM(I5:I7)</f>
        <v>1150</v>
      </c>
    </row>
    <row r="9" spans="1:11" x14ac:dyDescent="0.2">
      <c r="F9" t="s">
        <v>225</v>
      </c>
      <c r="G9" s="15">
        <v>2000</v>
      </c>
    </row>
    <row r="10" spans="1:11" ht="33" thickBot="1" x14ac:dyDescent="0.25">
      <c r="F10" s="60" t="s">
        <v>228</v>
      </c>
      <c r="G10" s="15">
        <f>+G9/I8</f>
        <v>1.7391304347826086</v>
      </c>
      <c r="H10" t="s">
        <v>209</v>
      </c>
    </row>
    <row r="11" spans="1:11" ht="18" thickTop="1" thickBot="1" x14ac:dyDescent="0.25">
      <c r="F11" s="10" t="s">
        <v>223</v>
      </c>
      <c r="G11" s="19">
        <f>+G7*G10</f>
        <v>1.7391304347826086</v>
      </c>
      <c r="H11" s="15">
        <f>+G11*H7</f>
        <v>695.6521739130435</v>
      </c>
    </row>
    <row r="12" spans="1:11" ht="18" thickTop="1" thickBot="1" x14ac:dyDescent="0.25">
      <c r="F12" s="10" t="s">
        <v>221</v>
      </c>
      <c r="G12" s="19">
        <f>+G5*G10</f>
        <v>2.6086956521739131</v>
      </c>
      <c r="H12" s="15">
        <f>+G12*H5</f>
        <v>260.86956521739131</v>
      </c>
    </row>
    <row r="13" spans="1:11" ht="18" thickTop="1" thickBot="1" x14ac:dyDescent="0.25">
      <c r="F13" s="10" t="s">
        <v>222</v>
      </c>
      <c r="G13" s="19">
        <f>+G6*G10</f>
        <v>3.4782608695652173</v>
      </c>
      <c r="H13" s="15">
        <f>+G13*H6</f>
        <v>1043.4782608695652</v>
      </c>
    </row>
    <row r="14" spans="1:11" ht="17" thickTop="1" x14ac:dyDescent="0.2">
      <c r="G14" t="s">
        <v>76</v>
      </c>
      <c r="H14" s="15">
        <f>+H11+H12+H13</f>
        <v>2000</v>
      </c>
    </row>
    <row r="15" spans="1:11" ht="17" thickBot="1" x14ac:dyDescent="0.25"/>
    <row r="16" spans="1:11" ht="34" thickTop="1" thickBot="1" x14ac:dyDescent="0.25">
      <c r="G16" s="61" t="s">
        <v>224</v>
      </c>
      <c r="H16" s="61" t="s">
        <v>226</v>
      </c>
      <c r="I16" s="61" t="s">
        <v>227</v>
      </c>
    </row>
    <row r="17" spans="6:9" ht="18" thickTop="1" thickBot="1" x14ac:dyDescent="0.25">
      <c r="F17" s="10" t="s">
        <v>221</v>
      </c>
      <c r="G17">
        <v>3</v>
      </c>
      <c r="H17">
        <v>100</v>
      </c>
      <c r="I17">
        <f>+H17*G17</f>
        <v>300</v>
      </c>
    </row>
    <row r="18" spans="6:9" ht="18" thickTop="1" thickBot="1" x14ac:dyDescent="0.25">
      <c r="F18" s="10" t="s">
        <v>222</v>
      </c>
      <c r="G18">
        <v>4</v>
      </c>
      <c r="H18">
        <v>300</v>
      </c>
      <c r="I18">
        <f>+H18*G18</f>
        <v>1200</v>
      </c>
    </row>
    <row r="19" spans="6:9" ht="18" thickTop="1" thickBot="1" x14ac:dyDescent="0.25">
      <c r="F19" s="10" t="s">
        <v>223</v>
      </c>
      <c r="G19">
        <v>2</v>
      </c>
      <c r="H19">
        <v>400</v>
      </c>
      <c r="I19">
        <f>+G19*H19</f>
        <v>800</v>
      </c>
    </row>
    <row r="20" spans="6:9" ht="17" thickTop="1" x14ac:dyDescent="0.2">
      <c r="H20" t="s">
        <v>76</v>
      </c>
      <c r="I20">
        <f>SUM(I17:I19)</f>
        <v>2300</v>
      </c>
    </row>
    <row r="21" spans="6:9" x14ac:dyDescent="0.2">
      <c r="F21" t="s">
        <v>225</v>
      </c>
      <c r="G21" s="15">
        <v>2000</v>
      </c>
    </row>
    <row r="22" spans="6:9" ht="33" thickBot="1" x14ac:dyDescent="0.25">
      <c r="F22" s="60" t="s">
        <v>228</v>
      </c>
      <c r="G22" s="15">
        <f>+G21/I20</f>
        <v>0.86956521739130432</v>
      </c>
      <c r="H22" t="s">
        <v>209</v>
      </c>
    </row>
    <row r="23" spans="6:9" ht="18" thickTop="1" thickBot="1" x14ac:dyDescent="0.25">
      <c r="F23" s="10" t="s">
        <v>223</v>
      </c>
      <c r="G23" s="19">
        <f>+G19*G22</f>
        <v>1.7391304347826086</v>
      </c>
      <c r="H23" s="15">
        <f>+G23*H19</f>
        <v>695.6521739130435</v>
      </c>
    </row>
    <row r="24" spans="6:9" ht="18" thickTop="1" thickBot="1" x14ac:dyDescent="0.25">
      <c r="F24" s="10" t="s">
        <v>221</v>
      </c>
      <c r="G24" s="19">
        <f>+G17*G22</f>
        <v>2.6086956521739131</v>
      </c>
      <c r="H24" s="15">
        <f>+G24*H17</f>
        <v>260.86956521739131</v>
      </c>
    </row>
    <row r="25" spans="6:9" ht="18" thickTop="1" thickBot="1" x14ac:dyDescent="0.25">
      <c r="F25" s="10" t="s">
        <v>222</v>
      </c>
      <c r="G25" s="19">
        <f>+G18*G22</f>
        <v>3.4782608695652173</v>
      </c>
      <c r="H25" s="15">
        <f>+G25*H18</f>
        <v>1043.4782608695652</v>
      </c>
    </row>
    <row r="26" spans="6:9" ht="17" thickTop="1" x14ac:dyDescent="0.2">
      <c r="G26" t="s">
        <v>76</v>
      </c>
      <c r="H26" s="15">
        <f>+H23+H24+H25</f>
        <v>2000</v>
      </c>
    </row>
  </sheetData>
  <mergeCells count="2">
    <mergeCell ref="A4:C4"/>
    <mergeCell ref="H2:K2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zoomScale="125" zoomScaleNormal="125" zoomScalePageLayoutView="125" workbookViewId="0">
      <selection activeCell="A4" sqref="A4:C4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6" width="25.6640625" bestFit="1" customWidth="1"/>
    <col min="7" max="11" width="22.6640625" customWidth="1"/>
  </cols>
  <sheetData>
    <row r="1" spans="1:11" ht="18" thickTop="1" thickBot="1" x14ac:dyDescent="0.25">
      <c r="A1" s="1" t="s">
        <v>0</v>
      </c>
      <c r="B1" s="4" t="s">
        <v>1</v>
      </c>
      <c r="C1" s="10" t="s">
        <v>2</v>
      </c>
      <c r="H1" s="28" t="s">
        <v>235</v>
      </c>
    </row>
    <row r="2" spans="1:11" ht="21" thickTop="1" thickBot="1" x14ac:dyDescent="0.25">
      <c r="E2" s="24" t="s">
        <v>0</v>
      </c>
      <c r="F2" s="24"/>
      <c r="G2" s="24" t="s">
        <v>76</v>
      </c>
      <c r="H2" s="24" t="s">
        <v>234</v>
      </c>
      <c r="I2" s="24" t="s">
        <v>199</v>
      </c>
      <c r="J2" s="24" t="s">
        <v>200</v>
      </c>
      <c r="K2" s="24" t="s">
        <v>181</v>
      </c>
    </row>
    <row r="3" spans="1:11" ht="23" thickTop="1" thickBot="1" x14ac:dyDescent="0.3">
      <c r="E3" s="8">
        <v>1</v>
      </c>
      <c r="F3" s="43" t="s">
        <v>144</v>
      </c>
      <c r="G3" s="46">
        <f>SUM(H3:K3)</f>
        <v>205000</v>
      </c>
      <c r="H3" s="46">
        <v>25000</v>
      </c>
      <c r="I3" s="46">
        <v>40000</v>
      </c>
      <c r="J3" s="46">
        <v>40000</v>
      </c>
      <c r="K3" s="46">
        <v>100000</v>
      </c>
    </row>
    <row r="4" spans="1:11" ht="23" thickTop="1" thickBot="1" x14ac:dyDescent="0.3">
      <c r="A4" s="80" t="s">
        <v>3</v>
      </c>
      <c r="B4" s="81"/>
      <c r="C4" s="82"/>
      <c r="E4" s="8">
        <v>2</v>
      </c>
      <c r="F4" s="43" t="s">
        <v>164</v>
      </c>
      <c r="G4" s="46">
        <f>SUM(H4:K4)</f>
        <v>105000</v>
      </c>
      <c r="H4" s="46">
        <v>40000</v>
      </c>
      <c r="I4" s="46">
        <v>23000</v>
      </c>
      <c r="J4" s="46">
        <v>24000</v>
      </c>
      <c r="K4" s="46">
        <v>18000</v>
      </c>
    </row>
    <row r="5" spans="1:11" ht="23" thickTop="1" thickBot="1" x14ac:dyDescent="0.3">
      <c r="A5" s="62"/>
      <c r="B5" s="62"/>
      <c r="C5" s="62"/>
      <c r="E5" s="8">
        <v>3</v>
      </c>
      <c r="F5" s="43" t="s">
        <v>76</v>
      </c>
      <c r="G5" s="46">
        <f>SUM(G3:G4)</f>
        <v>310000</v>
      </c>
      <c r="H5" s="46">
        <f>+H3+H4</f>
        <v>65000</v>
      </c>
      <c r="I5" s="46">
        <f t="shared" ref="I5:K5" si="0">+I3+I4</f>
        <v>63000</v>
      </c>
      <c r="J5" s="46">
        <f t="shared" si="0"/>
        <v>64000</v>
      </c>
      <c r="K5" s="46">
        <f t="shared" si="0"/>
        <v>118000</v>
      </c>
    </row>
    <row r="6" spans="1:11" ht="23" thickTop="1" thickBot="1" x14ac:dyDescent="0.3">
      <c r="E6" s="8">
        <v>4</v>
      </c>
      <c r="F6" s="43" t="s">
        <v>236</v>
      </c>
      <c r="G6" s="50">
        <f>SUM(I6:K6)</f>
        <v>5</v>
      </c>
      <c r="H6" s="44"/>
      <c r="I6" s="44">
        <v>2</v>
      </c>
      <c r="J6" s="44">
        <v>2</v>
      </c>
      <c r="K6" s="44">
        <v>1</v>
      </c>
    </row>
    <row r="7" spans="1:11" ht="23" thickTop="1" thickBot="1" x14ac:dyDescent="0.3">
      <c r="E7" s="8">
        <v>5</v>
      </c>
      <c r="F7" s="63" t="s">
        <v>237</v>
      </c>
      <c r="G7" s="19"/>
      <c r="H7" s="46"/>
      <c r="I7" s="46">
        <f>+$H$5/$G$6*I6</f>
        <v>26000</v>
      </c>
      <c r="J7" s="46">
        <f t="shared" ref="J7:K7" si="1">+$H$5/$G$6*J6</f>
        <v>26000</v>
      </c>
      <c r="K7" s="46">
        <f t="shared" si="1"/>
        <v>13000</v>
      </c>
    </row>
    <row r="8" spans="1:11" ht="23" thickTop="1" thickBot="1" x14ac:dyDescent="0.3">
      <c r="E8" s="8">
        <v>6</v>
      </c>
      <c r="F8" s="43" t="s">
        <v>76</v>
      </c>
      <c r="G8" s="45">
        <f>SUM(I8:K8)</f>
        <v>310000</v>
      </c>
      <c r="H8" s="45">
        <v>0</v>
      </c>
      <c r="I8" s="67">
        <f>+I5+I7</f>
        <v>89000</v>
      </c>
      <c r="J8" s="67">
        <f t="shared" ref="J8:K8" si="2">+J5+J7</f>
        <v>90000</v>
      </c>
      <c r="K8" s="45">
        <f t="shared" si="2"/>
        <v>131000</v>
      </c>
    </row>
    <row r="9" spans="1:11" ht="23" thickTop="1" thickBot="1" x14ac:dyDescent="0.3">
      <c r="E9" s="8">
        <v>7</v>
      </c>
      <c r="F9" s="43" t="s">
        <v>242</v>
      </c>
      <c r="I9" s="68">
        <f>+'ZK Einzelk.'!G14</f>
        <v>190000</v>
      </c>
      <c r="J9" s="67">
        <f>+'ZK Einzelk.'!H14</f>
        <v>140000</v>
      </c>
      <c r="K9" s="67">
        <f>+I13</f>
        <v>509000</v>
      </c>
    </row>
    <row r="10" spans="1:11" ht="23" thickTop="1" thickBot="1" x14ac:dyDescent="0.3">
      <c r="E10" s="8">
        <v>8</v>
      </c>
      <c r="I10" s="65">
        <f>+I8/I9*100%</f>
        <v>0.46842105263157896</v>
      </c>
      <c r="J10" s="65">
        <f>+J8/J9*100%</f>
        <v>0.6428571428571429</v>
      </c>
      <c r="K10" s="65">
        <f>+K8/K9*100%</f>
        <v>0.25736738703339884</v>
      </c>
    </row>
    <row r="11" spans="1:11" ht="21" thickTop="1" thickBot="1" x14ac:dyDescent="0.3">
      <c r="E11" s="8">
        <v>9</v>
      </c>
    </row>
    <row r="12" spans="1:11" ht="23" thickTop="1" thickBot="1" x14ac:dyDescent="0.3">
      <c r="E12" s="8">
        <v>10</v>
      </c>
      <c r="I12" s="69" t="s">
        <v>249</v>
      </c>
    </row>
    <row r="13" spans="1:11" ht="23" thickTop="1" thickBot="1" x14ac:dyDescent="0.3">
      <c r="E13" s="8">
        <v>11</v>
      </c>
      <c r="I13" s="67">
        <f>+I8+I9+J8+J9</f>
        <v>509000</v>
      </c>
    </row>
    <row r="14" spans="1:11" ht="21" thickTop="1" thickBot="1" x14ac:dyDescent="0.3">
      <c r="E14" s="8">
        <v>12</v>
      </c>
    </row>
    <row r="15" spans="1:11" ht="21" thickTop="1" thickBot="1" x14ac:dyDescent="0.3">
      <c r="E15" s="8">
        <v>13</v>
      </c>
    </row>
    <row r="16" spans="1:11" ht="21" thickTop="1" thickBot="1" x14ac:dyDescent="0.3">
      <c r="E16" s="8">
        <v>14</v>
      </c>
    </row>
    <row r="17" ht="17" thickTop="1" x14ac:dyDescent="0.2"/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zoomScale="150" zoomScaleNormal="150" zoomScalePageLayoutView="150" workbookViewId="0">
      <selection activeCell="G16" sqref="G16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8" width="22.6640625" customWidth="1"/>
  </cols>
  <sheetData>
    <row r="1" spans="1:8" ht="18" thickTop="1" thickBot="1" x14ac:dyDescent="0.25">
      <c r="A1" s="1" t="s">
        <v>0</v>
      </c>
      <c r="B1" s="4" t="s">
        <v>1</v>
      </c>
      <c r="C1" s="10" t="s">
        <v>2</v>
      </c>
    </row>
    <row r="2" spans="1:8" ht="21" thickTop="1" thickBot="1" x14ac:dyDescent="0.25">
      <c r="E2" s="24" t="s">
        <v>0</v>
      </c>
      <c r="F2" s="24" t="s">
        <v>0</v>
      </c>
      <c r="G2" s="24" t="s">
        <v>0</v>
      </c>
      <c r="H2" s="24" t="s">
        <v>0</v>
      </c>
    </row>
    <row r="3" spans="1:8" ht="21" thickTop="1" thickBot="1" x14ac:dyDescent="0.3">
      <c r="E3" s="8">
        <v>0</v>
      </c>
      <c r="F3" s="10" t="s">
        <v>238</v>
      </c>
      <c r="G3" s="10" t="s">
        <v>199</v>
      </c>
      <c r="H3" s="10" t="s">
        <v>200</v>
      </c>
    </row>
    <row r="4" spans="1:8" ht="21" thickTop="1" thickBot="1" x14ac:dyDescent="0.3">
      <c r="A4" s="80" t="s">
        <v>3</v>
      </c>
      <c r="B4" s="81"/>
      <c r="C4" s="82"/>
      <c r="E4" s="8">
        <v>1</v>
      </c>
      <c r="F4" s="16" t="s">
        <v>239</v>
      </c>
      <c r="G4" s="15">
        <v>20000</v>
      </c>
      <c r="H4" s="15">
        <v>30000</v>
      </c>
    </row>
    <row r="5" spans="1:8" ht="21" thickTop="1" thickBot="1" x14ac:dyDescent="0.3">
      <c r="E5" s="8">
        <v>2</v>
      </c>
      <c r="F5" s="16" t="s">
        <v>240</v>
      </c>
      <c r="G5" s="15">
        <v>1000</v>
      </c>
      <c r="H5" s="15">
        <v>0</v>
      </c>
    </row>
    <row r="6" spans="1:8" ht="21" thickTop="1" thickBot="1" x14ac:dyDescent="0.3">
      <c r="E6" s="8">
        <v>3</v>
      </c>
      <c r="F6" s="16" t="s">
        <v>241</v>
      </c>
      <c r="G6" s="15">
        <v>15000</v>
      </c>
      <c r="H6" s="15">
        <v>12000</v>
      </c>
    </row>
    <row r="7" spans="1:8" ht="21" thickTop="1" thickBot="1" x14ac:dyDescent="0.3">
      <c r="E7" s="8">
        <v>4</v>
      </c>
      <c r="F7" s="16" t="s">
        <v>34</v>
      </c>
      <c r="G7" s="64" t="s">
        <v>34</v>
      </c>
      <c r="H7" s="64" t="s">
        <v>34</v>
      </c>
    </row>
    <row r="8" spans="1:8" ht="21" thickTop="1" thickBot="1" x14ac:dyDescent="0.3">
      <c r="E8" s="8">
        <v>5</v>
      </c>
      <c r="F8" s="16"/>
      <c r="G8" s="15"/>
      <c r="H8" s="15"/>
    </row>
    <row r="9" spans="1:8" ht="21" thickTop="1" thickBot="1" x14ac:dyDescent="0.3">
      <c r="E9" s="8">
        <v>6</v>
      </c>
      <c r="F9" s="16"/>
      <c r="G9" s="15"/>
      <c r="H9" s="15"/>
    </row>
    <row r="10" spans="1:8" ht="21" thickTop="1" thickBot="1" x14ac:dyDescent="0.3">
      <c r="E10" s="8">
        <v>7</v>
      </c>
      <c r="F10" s="16"/>
      <c r="G10" s="15"/>
      <c r="H10" s="15"/>
    </row>
    <row r="11" spans="1:8" ht="21" thickTop="1" thickBot="1" x14ac:dyDescent="0.3">
      <c r="E11" s="8">
        <v>8</v>
      </c>
      <c r="F11" s="16"/>
      <c r="G11" s="15"/>
      <c r="H11" s="15"/>
    </row>
    <row r="12" spans="1:8" ht="21" thickTop="1" thickBot="1" x14ac:dyDescent="0.3">
      <c r="E12" s="8">
        <v>9</v>
      </c>
      <c r="F12" s="16"/>
      <c r="G12" s="15"/>
      <c r="H12" s="15"/>
    </row>
    <row r="13" spans="1:8" ht="21" thickTop="1" thickBot="1" x14ac:dyDescent="0.3">
      <c r="E13" s="8">
        <v>10</v>
      </c>
      <c r="F13" s="16"/>
      <c r="G13" s="15"/>
      <c r="H13" s="15"/>
    </row>
    <row r="14" spans="1:8" ht="17" thickTop="1" x14ac:dyDescent="0.2">
      <c r="F14" s="16" t="s">
        <v>76</v>
      </c>
      <c r="G14" s="15">
        <v>190000</v>
      </c>
      <c r="H14" s="15">
        <v>140000</v>
      </c>
    </row>
    <row r="16" spans="1:8" x14ac:dyDescent="0.2">
      <c r="F16" s="16" t="s">
        <v>243</v>
      </c>
      <c r="G16" s="66">
        <f>+'ZK BAB'!I10</f>
        <v>0.46842105263157896</v>
      </c>
      <c r="H16" s="66">
        <f>+'ZK BAB'!J10</f>
        <v>0.6428571428571429</v>
      </c>
    </row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topLeftCell="E2" zoomScale="200" zoomScaleNormal="200" zoomScalePageLayoutView="200" workbookViewId="0">
      <selection activeCell="I15" sqref="I15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6" width="27.1640625" bestFit="1" customWidth="1"/>
    <col min="7" max="7" width="13" bestFit="1" customWidth="1"/>
    <col min="8" max="8" width="11" bestFit="1" customWidth="1"/>
    <col min="9" max="9" width="12" bestFit="1" customWidth="1"/>
    <col min="10" max="10" width="3.33203125" bestFit="1" customWidth="1"/>
    <col min="11" max="11" width="22.6640625" customWidth="1"/>
  </cols>
  <sheetData>
    <row r="1" spans="1:11" ht="18" thickTop="1" thickBot="1" x14ac:dyDescent="0.25">
      <c r="A1" s="1" t="s">
        <v>0</v>
      </c>
      <c r="B1" s="4" t="s">
        <v>1</v>
      </c>
      <c r="C1" s="10" t="s">
        <v>2</v>
      </c>
    </row>
    <row r="2" spans="1:11" ht="21" thickTop="1" thickBot="1" x14ac:dyDescent="0.25">
      <c r="E2" s="24" t="s">
        <v>0</v>
      </c>
      <c r="F2" s="24" t="s">
        <v>0</v>
      </c>
      <c r="G2" s="24" t="s">
        <v>0</v>
      </c>
      <c r="H2" s="24" t="s">
        <v>0</v>
      </c>
      <c r="I2" s="24" t="s">
        <v>0</v>
      </c>
      <c r="J2" s="24" t="s">
        <v>0</v>
      </c>
      <c r="K2" s="24" t="s">
        <v>0</v>
      </c>
    </row>
    <row r="3" spans="1:11" ht="21" thickTop="1" thickBot="1" x14ac:dyDescent="0.3">
      <c r="E3" s="8">
        <v>1</v>
      </c>
      <c r="F3" s="10" t="s">
        <v>9</v>
      </c>
      <c r="G3" s="10" t="s">
        <v>254</v>
      </c>
      <c r="H3" s="10" t="s">
        <v>255</v>
      </c>
      <c r="I3" s="10" t="s">
        <v>256</v>
      </c>
      <c r="J3" s="10" t="s">
        <v>257</v>
      </c>
      <c r="K3" s="10" t="s">
        <v>76</v>
      </c>
    </row>
    <row r="4" spans="1:11" ht="18" thickTop="1" thickBot="1" x14ac:dyDescent="0.25">
      <c r="A4" s="80" t="s">
        <v>3</v>
      </c>
      <c r="B4" s="81"/>
      <c r="C4" s="82"/>
    </row>
    <row r="5" spans="1:11" ht="17" thickTop="1" x14ac:dyDescent="0.2">
      <c r="F5" t="s">
        <v>244</v>
      </c>
      <c r="G5" s="19">
        <f>+'ZK Einzelk.'!G4</f>
        <v>20000</v>
      </c>
      <c r="H5" s="19">
        <f>+'ZK Einzelk.'!G5</f>
        <v>1000</v>
      </c>
      <c r="I5" s="19">
        <f>+'ZK Einzelk.'!G6</f>
        <v>15000</v>
      </c>
      <c r="J5" s="28" t="s">
        <v>34</v>
      </c>
      <c r="K5" s="19">
        <f>+'ZK Einzelk.'!G14</f>
        <v>190000</v>
      </c>
    </row>
    <row r="6" spans="1:11" x14ac:dyDescent="0.2">
      <c r="E6" s="21" t="s">
        <v>245</v>
      </c>
      <c r="F6" t="s">
        <v>246</v>
      </c>
      <c r="G6" s="19">
        <f>+'ZK BAB'!$I$10*'ZK Kalk.'!G5</f>
        <v>9368.4210526315801</v>
      </c>
      <c r="H6" s="19">
        <f>+'ZK BAB'!$I$10*'ZK Kalk.'!H5</f>
        <v>468.42105263157896</v>
      </c>
      <c r="I6" s="19">
        <f>+'ZK BAB'!$I$10*'ZK Kalk.'!I5</f>
        <v>7026.3157894736842</v>
      </c>
      <c r="J6" s="28" t="s">
        <v>34</v>
      </c>
      <c r="K6" s="19">
        <f>+'ZK Einzelk.'!G16*'ZK Kalk.'!K5</f>
        <v>89000</v>
      </c>
    </row>
    <row r="7" spans="1:11" x14ac:dyDescent="0.2">
      <c r="E7" s="21" t="s">
        <v>245</v>
      </c>
      <c r="F7" t="s">
        <v>247</v>
      </c>
      <c r="G7" s="19">
        <f>+'ZK Einzelk.'!H4</f>
        <v>30000</v>
      </c>
      <c r="H7" s="19">
        <f>+'ZK Einzelk.'!H5</f>
        <v>0</v>
      </c>
      <c r="I7" s="19">
        <f>+'ZK Einzelk.'!H6</f>
        <v>12000</v>
      </c>
      <c r="J7" s="28" t="s">
        <v>34</v>
      </c>
      <c r="K7" s="19">
        <f>+'ZK Einzelk.'!H14</f>
        <v>140000</v>
      </c>
    </row>
    <row r="8" spans="1:11" x14ac:dyDescent="0.2">
      <c r="E8" s="21" t="s">
        <v>245</v>
      </c>
      <c r="F8" t="s">
        <v>248</v>
      </c>
      <c r="G8" s="19">
        <f>+'ZK BAB'!$J$10*'ZK Kalk.'!G7</f>
        <v>19285.714285714286</v>
      </c>
      <c r="H8" s="19">
        <f>+'ZK BAB'!$J$10*'ZK Kalk.'!H7</f>
        <v>0</v>
      </c>
      <c r="I8" s="19">
        <f>+'ZK BAB'!$J$10*'ZK Kalk.'!I7</f>
        <v>7714.2857142857147</v>
      </c>
      <c r="J8" s="28" t="s">
        <v>34</v>
      </c>
      <c r="K8" s="19">
        <f>+'ZK Einzelk.'!H16*'ZK Kalk.'!K7</f>
        <v>90000</v>
      </c>
    </row>
    <row r="9" spans="1:11" x14ac:dyDescent="0.2">
      <c r="E9" s="21" t="s">
        <v>218</v>
      </c>
      <c r="F9" t="s">
        <v>249</v>
      </c>
      <c r="G9" s="19">
        <f>SUM(G5:G8)</f>
        <v>78654.135338345863</v>
      </c>
      <c r="H9" s="19">
        <f t="shared" ref="H9:I9" si="0">SUM(H5:H8)</f>
        <v>1468.421052631579</v>
      </c>
      <c r="I9" s="19">
        <f t="shared" si="0"/>
        <v>41740.601503759397</v>
      </c>
      <c r="J9" s="28" t="s">
        <v>34</v>
      </c>
      <c r="K9" s="19">
        <f>SUM(K5:K8)</f>
        <v>509000</v>
      </c>
    </row>
    <row r="10" spans="1:11" x14ac:dyDescent="0.2">
      <c r="E10" s="21" t="s">
        <v>245</v>
      </c>
      <c r="F10" t="s">
        <v>250</v>
      </c>
      <c r="G10" s="15">
        <f>+G9*'ZK BAB'!K10</f>
        <v>20243.009291401391</v>
      </c>
      <c r="H10" s="15">
        <f>+H9*'ZK BAB'!K10</f>
        <v>377.92368938062253</v>
      </c>
      <c r="I10" s="15">
        <f>+I9*'ZK BAB'!K10</f>
        <v>10742.669542224914</v>
      </c>
      <c r="J10" s="28" t="s">
        <v>34</v>
      </c>
      <c r="K10" s="15">
        <f>+K9*'ZK BAB'!K10</f>
        <v>131000.00000000001</v>
      </c>
    </row>
    <row r="11" spans="1:11" x14ac:dyDescent="0.2">
      <c r="E11" s="21" t="s">
        <v>251</v>
      </c>
      <c r="F11" t="s">
        <v>211</v>
      </c>
      <c r="G11" s="19">
        <f>+G9+G10</f>
        <v>98897.144629747258</v>
      </c>
      <c r="H11" s="19">
        <f t="shared" ref="H11:K11" si="1">+H9+H10</f>
        <v>1846.3447420122016</v>
      </c>
      <c r="I11" s="19">
        <f t="shared" si="1"/>
        <v>52483.271045984307</v>
      </c>
      <c r="J11" s="19" t="s">
        <v>34</v>
      </c>
      <c r="K11" s="19">
        <f t="shared" si="1"/>
        <v>640000</v>
      </c>
    </row>
    <row r="12" spans="1:11" x14ac:dyDescent="0.2">
      <c r="E12" s="21" t="s">
        <v>245</v>
      </c>
      <c r="F12" t="s">
        <v>252</v>
      </c>
      <c r="G12" s="15">
        <f>+G11*$G$15</f>
        <v>9889.7144629747272</v>
      </c>
      <c r="H12" s="15">
        <f t="shared" ref="H12:K12" si="2">+H11*$G$15</f>
        <v>184.63447420122017</v>
      </c>
      <c r="I12" s="15">
        <f t="shared" si="2"/>
        <v>5248.3271045984311</v>
      </c>
      <c r="J12" s="15" t="s">
        <v>34</v>
      </c>
      <c r="K12" s="15">
        <f t="shared" si="2"/>
        <v>64000</v>
      </c>
    </row>
    <row r="13" spans="1:11" x14ac:dyDescent="0.2">
      <c r="E13" s="21" t="s">
        <v>251</v>
      </c>
      <c r="F13" t="s">
        <v>253</v>
      </c>
      <c r="G13" s="19">
        <f>+G11+G12</f>
        <v>108786.85909272198</v>
      </c>
      <c r="H13" s="19">
        <f t="shared" ref="H13:K13" si="3">+H11+H12</f>
        <v>2030.9792162134218</v>
      </c>
      <c r="I13" s="19">
        <f t="shared" si="3"/>
        <v>57731.598150582737</v>
      </c>
      <c r="J13" s="19" t="s">
        <v>34</v>
      </c>
      <c r="K13" s="19">
        <f t="shared" si="3"/>
        <v>704000</v>
      </c>
    </row>
    <row r="14" spans="1:11" ht="17" thickBot="1" x14ac:dyDescent="0.25"/>
    <row r="15" spans="1:11" ht="18" thickTop="1" thickBot="1" x14ac:dyDescent="0.25">
      <c r="F15" s="16" t="s">
        <v>252</v>
      </c>
      <c r="G15" s="70">
        <v>0.1</v>
      </c>
    </row>
    <row r="16" spans="1:11" ht="17" thickTop="1" x14ac:dyDescent="0.2"/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workbookViewId="0">
      <selection activeCell="L15" sqref="L15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11" width="22.6640625" customWidth="1"/>
  </cols>
  <sheetData>
    <row r="1" spans="1:11" ht="18" thickTop="1" thickBot="1" x14ac:dyDescent="0.25">
      <c r="A1" s="1" t="s">
        <v>0</v>
      </c>
      <c r="B1" s="4" t="s">
        <v>1</v>
      </c>
      <c r="C1" s="10" t="s">
        <v>2</v>
      </c>
    </row>
    <row r="2" spans="1:11" ht="21" thickTop="1" thickBot="1" x14ac:dyDescent="0.25">
      <c r="E2" s="24" t="s">
        <v>0</v>
      </c>
      <c r="F2" s="24" t="s">
        <v>0</v>
      </c>
      <c r="G2" s="24" t="s">
        <v>0</v>
      </c>
      <c r="H2" s="24" t="s">
        <v>0</v>
      </c>
      <c r="I2" s="24" t="s">
        <v>0</v>
      </c>
      <c r="J2" s="24" t="s">
        <v>0</v>
      </c>
      <c r="K2" s="24" t="s">
        <v>0</v>
      </c>
    </row>
    <row r="3" spans="1:11" ht="21" thickTop="1" thickBot="1" x14ac:dyDescent="0.3">
      <c r="E3" s="8">
        <v>1</v>
      </c>
      <c r="F3" s="10" t="s">
        <v>9</v>
      </c>
      <c r="G3" s="10"/>
      <c r="H3" s="10"/>
      <c r="I3" s="10"/>
      <c r="J3" s="10"/>
      <c r="K3" s="10"/>
    </row>
    <row r="4" spans="1:11" ht="18" thickTop="1" thickBot="1" x14ac:dyDescent="0.25">
      <c r="A4" s="80" t="s">
        <v>3</v>
      </c>
      <c r="B4" s="81"/>
      <c r="C4" s="82"/>
    </row>
    <row r="5" spans="1:11" ht="17" thickTop="1" x14ac:dyDescent="0.2"/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workbookViewId="0">
      <selection activeCell="F12" sqref="F12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11" width="22.6640625" customWidth="1"/>
  </cols>
  <sheetData>
    <row r="1" spans="1:11" ht="18" thickTop="1" thickBot="1" x14ac:dyDescent="0.25">
      <c r="A1" s="1" t="s">
        <v>0</v>
      </c>
      <c r="B1" s="4" t="s">
        <v>1</v>
      </c>
      <c r="C1" s="10" t="s">
        <v>2</v>
      </c>
    </row>
    <row r="2" spans="1:11" ht="21" thickTop="1" thickBot="1" x14ac:dyDescent="0.25">
      <c r="E2" s="24" t="s">
        <v>0</v>
      </c>
      <c r="F2" s="24" t="s">
        <v>0</v>
      </c>
      <c r="G2" s="24" t="s">
        <v>0</v>
      </c>
      <c r="H2" s="24" t="s">
        <v>0</v>
      </c>
      <c r="I2" s="24" t="s">
        <v>0</v>
      </c>
      <c r="J2" s="24" t="s">
        <v>0</v>
      </c>
      <c r="K2" s="24" t="s">
        <v>0</v>
      </c>
    </row>
    <row r="3" spans="1:11" ht="21" thickTop="1" thickBot="1" x14ac:dyDescent="0.3">
      <c r="E3" s="8">
        <v>1</v>
      </c>
      <c r="F3" s="10" t="s">
        <v>9</v>
      </c>
      <c r="G3" s="10"/>
      <c r="H3" s="10"/>
      <c r="I3" s="10"/>
      <c r="J3" s="10"/>
      <c r="K3" s="10"/>
    </row>
    <row r="4" spans="1:11" ht="18" thickTop="1" thickBot="1" x14ac:dyDescent="0.25">
      <c r="A4" s="80" t="s">
        <v>3</v>
      </c>
      <c r="B4" s="81"/>
      <c r="C4" s="82"/>
    </row>
    <row r="5" spans="1:11" ht="17" thickTop="1" x14ac:dyDescent="0.2">
      <c r="F5" t="s">
        <v>258</v>
      </c>
    </row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L15" sqref="L15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7" max="10" width="19" customWidth="1"/>
  </cols>
  <sheetData>
    <row r="1" spans="1:10" ht="18" thickTop="1" thickBot="1" x14ac:dyDescent="0.25">
      <c r="A1" s="1" t="s">
        <v>0</v>
      </c>
      <c r="B1" s="4" t="s">
        <v>1</v>
      </c>
      <c r="C1" s="10" t="s">
        <v>2</v>
      </c>
    </row>
    <row r="2" spans="1:10" ht="21" thickTop="1" thickBot="1" x14ac:dyDescent="0.25">
      <c r="E2" s="24" t="s">
        <v>0</v>
      </c>
    </row>
    <row r="3" spans="1:10" ht="21" thickTop="1" thickBot="1" x14ac:dyDescent="0.3">
      <c r="E3" s="8">
        <v>1</v>
      </c>
      <c r="G3" s="101" t="s">
        <v>267</v>
      </c>
      <c r="H3" s="101"/>
      <c r="I3" s="101" t="s">
        <v>260</v>
      </c>
      <c r="J3" s="101"/>
    </row>
    <row r="4" spans="1:10" ht="18" thickTop="1" thickBot="1" x14ac:dyDescent="0.25">
      <c r="A4" s="80" t="s">
        <v>3</v>
      </c>
      <c r="B4" s="81"/>
      <c r="C4" s="82"/>
      <c r="G4" s="71" t="s">
        <v>268</v>
      </c>
      <c r="H4" s="71" t="s">
        <v>259</v>
      </c>
      <c r="I4" s="71" t="s">
        <v>261</v>
      </c>
      <c r="J4" s="71" t="s">
        <v>262</v>
      </c>
    </row>
    <row r="5" spans="1:10" ht="18" thickTop="1" thickBot="1" x14ac:dyDescent="0.25">
      <c r="F5" t="s">
        <v>153</v>
      </c>
      <c r="G5" s="72">
        <v>40000</v>
      </c>
      <c r="H5" s="72">
        <v>60000</v>
      </c>
      <c r="I5" s="72">
        <v>400000</v>
      </c>
      <c r="J5" s="72">
        <v>50000</v>
      </c>
    </row>
    <row r="6" spans="1:10" ht="18" thickTop="1" thickBot="1" x14ac:dyDescent="0.25">
      <c r="E6" s="73" t="s">
        <v>189</v>
      </c>
      <c r="F6" t="s">
        <v>263</v>
      </c>
      <c r="G6" s="72">
        <v>20000</v>
      </c>
      <c r="H6" s="72">
        <v>35000</v>
      </c>
      <c r="I6" s="72">
        <v>280000</v>
      </c>
      <c r="J6" s="72">
        <v>34000</v>
      </c>
    </row>
    <row r="7" spans="1:10" ht="18" thickTop="1" thickBot="1" x14ac:dyDescent="0.25">
      <c r="F7" t="s">
        <v>264</v>
      </c>
      <c r="G7" s="72">
        <f>+G5-G6</f>
        <v>20000</v>
      </c>
      <c r="H7" s="72">
        <f t="shared" ref="H7:J7" si="0">+H5-H6</f>
        <v>25000</v>
      </c>
      <c r="I7" s="72">
        <f t="shared" si="0"/>
        <v>120000</v>
      </c>
      <c r="J7" s="72">
        <f t="shared" si="0"/>
        <v>16000</v>
      </c>
    </row>
    <row r="8" spans="1:10" ht="18" thickTop="1" thickBot="1" x14ac:dyDescent="0.25">
      <c r="F8" t="s">
        <v>265</v>
      </c>
      <c r="G8" s="72">
        <v>40000</v>
      </c>
      <c r="H8" s="72">
        <v>0</v>
      </c>
      <c r="I8" s="72">
        <v>0</v>
      </c>
      <c r="J8" s="72">
        <v>24000</v>
      </c>
    </row>
    <row r="9" spans="1:10" ht="18" thickTop="1" thickBot="1" x14ac:dyDescent="0.25">
      <c r="F9" t="s">
        <v>266</v>
      </c>
      <c r="G9" s="74">
        <f>+G7-G8</f>
        <v>-20000</v>
      </c>
      <c r="H9" s="72">
        <f t="shared" ref="H9:J9" si="1">+H7-H8</f>
        <v>25000</v>
      </c>
      <c r="I9" s="72">
        <f t="shared" si="1"/>
        <v>120000</v>
      </c>
      <c r="J9" s="74">
        <f t="shared" si="1"/>
        <v>-8000</v>
      </c>
    </row>
    <row r="10" spans="1:10" ht="18" thickTop="1" thickBot="1" x14ac:dyDescent="0.25">
      <c r="F10" t="s">
        <v>269</v>
      </c>
      <c r="G10" s="98">
        <v>5000</v>
      </c>
      <c r="H10" s="100"/>
      <c r="I10" s="98">
        <v>60000</v>
      </c>
      <c r="J10" s="100"/>
    </row>
    <row r="11" spans="1:10" ht="18" thickTop="1" thickBot="1" x14ac:dyDescent="0.25">
      <c r="F11" t="s">
        <v>270</v>
      </c>
      <c r="G11" s="98">
        <f>+G9+H9-G10</f>
        <v>0</v>
      </c>
      <c r="H11" s="100"/>
      <c r="I11" s="98">
        <f>+I9+J9-I10</f>
        <v>52000</v>
      </c>
      <c r="J11" s="100"/>
    </row>
    <row r="12" spans="1:10" ht="18" thickTop="1" thickBot="1" x14ac:dyDescent="0.25">
      <c r="F12" t="s">
        <v>271</v>
      </c>
      <c r="G12" s="98">
        <v>6000</v>
      </c>
      <c r="H12" s="99"/>
      <c r="I12" s="99"/>
      <c r="J12" s="100"/>
    </row>
    <row r="13" spans="1:10" ht="18" thickTop="1" thickBot="1" x14ac:dyDescent="0.25">
      <c r="F13" t="s">
        <v>272</v>
      </c>
      <c r="G13" s="98">
        <f>+G11+I11-G12</f>
        <v>46000</v>
      </c>
      <c r="H13" s="99"/>
      <c r="I13" s="99"/>
      <c r="J13" s="100"/>
    </row>
    <row r="14" spans="1:10" ht="17" thickTop="1" x14ac:dyDescent="0.2"/>
  </sheetData>
  <mergeCells count="9">
    <mergeCell ref="G12:J12"/>
    <mergeCell ref="G13:J13"/>
    <mergeCell ref="A4:C4"/>
    <mergeCell ref="G3:H3"/>
    <mergeCell ref="I3:J3"/>
    <mergeCell ref="G10:H10"/>
    <mergeCell ref="I10:J10"/>
    <mergeCell ref="G11:H11"/>
    <mergeCell ref="I11:J11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F3" sqref="F3:N3"/>
    </sheetView>
  </sheetViews>
  <sheetFormatPr baseColWidth="10" defaultRowHeight="16" x14ac:dyDescent="0.2"/>
  <cols>
    <col min="1" max="3" width="2.33203125" customWidth="1"/>
    <col min="4" max="4" width="1.83203125" customWidth="1"/>
    <col min="5" max="5" width="4.83203125" customWidth="1"/>
    <col min="6" max="6" width="10.83203125" customWidth="1"/>
    <col min="15" max="15" width="4.33203125" customWidth="1"/>
  </cols>
  <sheetData>
    <row r="1" spans="1:14" ht="18" thickTop="1" thickBot="1" x14ac:dyDescent="0.25">
      <c r="A1" s="1" t="s">
        <v>0</v>
      </c>
      <c r="B1" s="2" t="s">
        <v>1</v>
      </c>
      <c r="C1" s="3" t="s">
        <v>2</v>
      </c>
    </row>
    <row r="2" spans="1:14" ht="21" thickTop="1" thickBot="1" x14ac:dyDescent="0.25">
      <c r="E2" s="75" t="s">
        <v>3</v>
      </c>
      <c r="F2" s="76"/>
    </row>
    <row r="3" spans="1:14" ht="21" thickTop="1" thickBot="1" x14ac:dyDescent="0.3">
      <c r="E3" s="8">
        <v>1</v>
      </c>
      <c r="F3" s="77" t="s">
        <v>4</v>
      </c>
      <c r="G3" s="78"/>
      <c r="H3" s="78"/>
      <c r="I3" s="78"/>
      <c r="J3" s="78"/>
      <c r="K3" s="78"/>
      <c r="L3" s="78"/>
      <c r="M3" s="78"/>
      <c r="N3" s="79"/>
    </row>
    <row r="4" spans="1:14" ht="21" thickTop="1" thickBot="1" x14ac:dyDescent="0.3">
      <c r="E4" s="8">
        <v>2</v>
      </c>
      <c r="F4" s="77" t="s">
        <v>5</v>
      </c>
      <c r="G4" s="78"/>
      <c r="H4" s="78"/>
      <c r="I4" s="78"/>
      <c r="J4" s="78"/>
      <c r="K4" s="78"/>
      <c r="L4" s="78"/>
      <c r="M4" s="78"/>
      <c r="N4" s="79"/>
    </row>
    <row r="5" spans="1:14" ht="21" thickTop="1" thickBot="1" x14ac:dyDescent="0.3">
      <c r="E5" s="8">
        <v>3</v>
      </c>
      <c r="F5" s="77" t="s">
        <v>6</v>
      </c>
      <c r="G5" s="78"/>
      <c r="H5" s="78"/>
      <c r="I5" s="78"/>
      <c r="J5" s="78"/>
      <c r="K5" s="78"/>
      <c r="L5" s="78"/>
      <c r="M5" s="78"/>
      <c r="N5" s="79"/>
    </row>
    <row r="6" spans="1:14" ht="21" thickTop="1" thickBot="1" x14ac:dyDescent="0.3">
      <c r="E6" s="8">
        <v>4</v>
      </c>
      <c r="F6" s="77" t="s">
        <v>7</v>
      </c>
      <c r="G6" s="78"/>
      <c r="H6" s="78"/>
      <c r="I6" s="78"/>
      <c r="J6" s="78"/>
      <c r="K6" s="78"/>
      <c r="L6" s="78"/>
      <c r="M6" s="78"/>
      <c r="N6" s="79"/>
    </row>
    <row r="7" spans="1:14" ht="21" thickTop="1" thickBot="1" x14ac:dyDescent="0.3">
      <c r="E7" s="8">
        <v>5</v>
      </c>
      <c r="F7" s="77" t="s">
        <v>128</v>
      </c>
      <c r="G7" s="78"/>
      <c r="H7" s="78"/>
      <c r="I7" s="78"/>
      <c r="J7" s="78"/>
      <c r="K7" s="78"/>
      <c r="L7" s="78"/>
      <c r="M7" s="78"/>
      <c r="N7" s="79"/>
    </row>
    <row r="8" spans="1:14" ht="21" thickTop="1" thickBot="1" x14ac:dyDescent="0.3">
      <c r="E8" s="8">
        <v>6</v>
      </c>
      <c r="F8" s="77" t="s">
        <v>177</v>
      </c>
      <c r="G8" s="78"/>
      <c r="H8" s="78"/>
      <c r="I8" s="78"/>
      <c r="J8" s="78"/>
      <c r="K8" s="78"/>
      <c r="L8" s="78"/>
      <c r="M8" s="78"/>
      <c r="N8" s="79"/>
    </row>
    <row r="9" spans="1:14" ht="21" thickTop="1" thickBot="1" x14ac:dyDescent="0.3">
      <c r="E9" s="8">
        <v>7</v>
      </c>
      <c r="F9" s="77" t="s">
        <v>194</v>
      </c>
      <c r="G9" s="78"/>
      <c r="H9" s="78"/>
      <c r="I9" s="78"/>
      <c r="J9" s="78"/>
      <c r="K9" s="78"/>
      <c r="L9" s="78"/>
      <c r="M9" s="78"/>
      <c r="N9" s="79"/>
    </row>
    <row r="10" spans="1:14" ht="21" thickTop="1" thickBot="1" x14ac:dyDescent="0.3">
      <c r="E10" s="8">
        <v>8</v>
      </c>
      <c r="F10" s="77" t="s">
        <v>206</v>
      </c>
      <c r="G10" s="78"/>
      <c r="H10" s="78"/>
      <c r="I10" s="78"/>
      <c r="J10" s="78"/>
      <c r="K10" s="78"/>
      <c r="L10" s="78"/>
      <c r="M10" s="78"/>
      <c r="N10" s="79"/>
    </row>
    <row r="11" spans="1:14" ht="21" thickTop="1" thickBot="1" x14ac:dyDescent="0.3">
      <c r="E11" s="8">
        <v>9</v>
      </c>
      <c r="F11" s="77" t="s">
        <v>207</v>
      </c>
      <c r="G11" s="78"/>
      <c r="H11" s="78"/>
      <c r="I11" s="78"/>
      <c r="J11" s="78"/>
      <c r="K11" s="78"/>
      <c r="L11" s="78"/>
      <c r="M11" s="78"/>
      <c r="N11" s="79"/>
    </row>
    <row r="12" spans="1:14" ht="21" thickTop="1" thickBot="1" x14ac:dyDescent="0.3">
      <c r="E12" s="8">
        <v>10</v>
      </c>
      <c r="F12" s="77" t="s">
        <v>208</v>
      </c>
      <c r="G12" s="78"/>
      <c r="H12" s="78"/>
      <c r="I12" s="78"/>
      <c r="J12" s="78"/>
      <c r="K12" s="78"/>
      <c r="L12" s="78"/>
      <c r="M12" s="78"/>
      <c r="N12" s="79"/>
    </row>
    <row r="13" spans="1:14" ht="21" thickTop="1" thickBot="1" x14ac:dyDescent="0.3">
      <c r="E13" s="8">
        <v>11</v>
      </c>
      <c r="F13" s="77" t="s">
        <v>62</v>
      </c>
      <c r="G13" s="78"/>
      <c r="H13" s="78"/>
      <c r="I13" s="78"/>
      <c r="J13" s="78"/>
      <c r="K13" s="78"/>
      <c r="L13" s="78"/>
      <c r="M13" s="78"/>
      <c r="N13" s="79"/>
    </row>
    <row r="14" spans="1:14" ht="21" thickTop="1" thickBot="1" x14ac:dyDescent="0.3">
      <c r="E14" s="8">
        <v>12</v>
      </c>
      <c r="F14" s="77" t="s">
        <v>233</v>
      </c>
      <c r="G14" s="78"/>
      <c r="H14" s="78"/>
      <c r="I14" s="78"/>
      <c r="J14" s="78"/>
      <c r="K14" s="78"/>
      <c r="L14" s="78"/>
      <c r="M14" s="78"/>
      <c r="N14" s="79"/>
    </row>
    <row r="15" spans="1:14" ht="21" thickTop="1" thickBot="1" x14ac:dyDescent="0.3">
      <c r="E15" s="8">
        <v>13</v>
      </c>
      <c r="F15" s="77" t="s">
        <v>232</v>
      </c>
      <c r="G15" s="78"/>
      <c r="H15" s="78"/>
      <c r="I15" s="78"/>
      <c r="J15" s="78"/>
      <c r="K15" s="78"/>
      <c r="L15" s="78"/>
      <c r="M15" s="78"/>
      <c r="N15" s="79"/>
    </row>
    <row r="16" spans="1:14" ht="21" thickTop="1" thickBot="1" x14ac:dyDescent="0.3">
      <c r="E16" s="8">
        <v>14</v>
      </c>
      <c r="F16" s="77" t="s">
        <v>231</v>
      </c>
      <c r="G16" s="78"/>
      <c r="H16" s="78"/>
      <c r="I16" s="78"/>
      <c r="J16" s="78"/>
      <c r="K16" s="78"/>
      <c r="L16" s="78"/>
      <c r="M16" s="78"/>
      <c r="N16" s="79"/>
    </row>
    <row r="17" spans="5:17" ht="21" thickTop="1" thickBot="1" x14ac:dyDescent="0.3">
      <c r="E17" s="8">
        <v>15</v>
      </c>
      <c r="F17" s="77" t="s">
        <v>229</v>
      </c>
      <c r="G17" s="78"/>
      <c r="H17" s="78"/>
      <c r="I17" s="78"/>
      <c r="J17" s="78"/>
      <c r="K17" s="78"/>
      <c r="L17" s="78"/>
      <c r="M17" s="78"/>
      <c r="N17" s="79"/>
    </row>
    <row r="18" spans="5:17" ht="21" thickTop="1" thickBot="1" x14ac:dyDescent="0.3">
      <c r="E18" s="8">
        <v>16</v>
      </c>
      <c r="F18" s="77" t="s">
        <v>230</v>
      </c>
      <c r="G18" s="78"/>
      <c r="H18" s="78"/>
      <c r="I18" s="78"/>
      <c r="J18" s="78"/>
      <c r="K18" s="78"/>
      <c r="L18" s="78"/>
      <c r="M18" s="78"/>
      <c r="N18" s="79"/>
    </row>
    <row r="19" spans="5:17" ht="21" thickTop="1" thickBot="1" x14ac:dyDescent="0.3">
      <c r="E19" s="8">
        <v>17</v>
      </c>
      <c r="F19" s="77" t="s">
        <v>66</v>
      </c>
      <c r="G19" s="78"/>
      <c r="H19" s="78"/>
      <c r="I19" s="78"/>
      <c r="J19" s="78"/>
      <c r="K19" s="78"/>
      <c r="L19" s="78"/>
      <c r="M19" s="78"/>
      <c r="N19" s="79"/>
    </row>
    <row r="20" spans="5:17" ht="21" thickTop="1" thickBot="1" x14ac:dyDescent="0.3">
      <c r="E20" s="8">
        <v>18</v>
      </c>
      <c r="F20" s="77"/>
      <c r="G20" s="78"/>
      <c r="H20" s="78"/>
      <c r="I20" s="78"/>
      <c r="J20" s="78"/>
      <c r="K20" s="78"/>
      <c r="L20" s="78"/>
      <c r="M20" s="78"/>
      <c r="N20" s="79"/>
      <c r="P20" s="11" t="s">
        <v>8</v>
      </c>
    </row>
    <row r="21" spans="5:17" ht="18" thickTop="1" thickBot="1" x14ac:dyDescent="0.25"/>
    <row r="22" spans="5:17" ht="21" thickTop="1" thickBot="1" x14ac:dyDescent="0.25">
      <c r="P22" s="75" t="s">
        <v>36</v>
      </c>
      <c r="Q22" s="76"/>
    </row>
    <row r="23" spans="5:17" ht="17" thickTop="1" x14ac:dyDescent="0.2"/>
  </sheetData>
  <mergeCells count="20">
    <mergeCell ref="F12:N12"/>
    <mergeCell ref="F13:N13"/>
    <mergeCell ref="F14:N14"/>
    <mergeCell ref="F15:N15"/>
    <mergeCell ref="P22:Q22"/>
    <mergeCell ref="F16:N16"/>
    <mergeCell ref="F17:N17"/>
    <mergeCell ref="F18:N18"/>
    <mergeCell ref="F19:N19"/>
    <mergeCell ref="F20:N20"/>
    <mergeCell ref="F7:N7"/>
    <mergeCell ref="F8:N8"/>
    <mergeCell ref="F9:N9"/>
    <mergeCell ref="F10:N10"/>
    <mergeCell ref="F11:N11"/>
    <mergeCell ref="E2:F2"/>
    <mergeCell ref="F3:N3"/>
    <mergeCell ref="F4:N4"/>
    <mergeCell ref="F5:N5"/>
    <mergeCell ref="F6:N6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A2" sqref="A2:C4"/>
    </sheetView>
  </sheetViews>
  <sheetFormatPr baseColWidth="10" defaultRowHeight="16" x14ac:dyDescent="0.2"/>
  <cols>
    <col min="1" max="3" width="2.33203125" customWidth="1"/>
    <col min="4" max="4" width="10.83203125" customWidth="1"/>
    <col min="5" max="9" width="22.6640625" customWidth="1"/>
    <col min="10" max="10" width="26.1640625" customWidth="1"/>
  </cols>
  <sheetData>
    <row r="1" spans="1:10" ht="18" thickTop="1" thickBot="1" x14ac:dyDescent="0.25">
      <c r="A1" s="1" t="s">
        <v>0</v>
      </c>
      <c r="B1" s="4" t="s">
        <v>1</v>
      </c>
      <c r="C1" s="10" t="s">
        <v>2</v>
      </c>
    </row>
    <row r="2" spans="1:10" ht="21" thickTop="1" thickBot="1" x14ac:dyDescent="0.25">
      <c r="A2" s="80" t="s">
        <v>3</v>
      </c>
      <c r="B2" s="81"/>
      <c r="C2" s="82"/>
      <c r="E2" s="105" t="s">
        <v>11</v>
      </c>
      <c r="F2" s="106"/>
      <c r="G2" s="107"/>
      <c r="H2" s="105" t="s">
        <v>12</v>
      </c>
      <c r="I2" s="106"/>
      <c r="J2" s="106"/>
    </row>
    <row r="3" spans="1:10" ht="17" thickTop="1" x14ac:dyDescent="0.2">
      <c r="E3" s="108" t="s">
        <v>13</v>
      </c>
      <c r="F3" s="109"/>
      <c r="G3" s="110"/>
      <c r="H3" s="111" t="s">
        <v>14</v>
      </c>
      <c r="I3" s="112"/>
      <c r="J3" s="113"/>
    </row>
    <row r="4" spans="1:10" x14ac:dyDescent="0.2">
      <c r="E4" s="103" t="s">
        <v>15</v>
      </c>
      <c r="F4" s="103"/>
      <c r="G4" s="103"/>
      <c r="H4" s="102" t="s">
        <v>16</v>
      </c>
      <c r="I4" s="102"/>
      <c r="J4" s="102"/>
    </row>
    <row r="5" spans="1:10" x14ac:dyDescent="0.2">
      <c r="E5" s="103" t="s">
        <v>17</v>
      </c>
      <c r="F5" s="103"/>
      <c r="G5" s="103"/>
      <c r="H5" s="102" t="s">
        <v>18</v>
      </c>
      <c r="I5" s="102"/>
      <c r="J5" s="102"/>
    </row>
    <row r="6" spans="1:10" x14ac:dyDescent="0.2">
      <c r="E6" s="103" t="s">
        <v>19</v>
      </c>
      <c r="F6" s="103"/>
      <c r="G6" s="103"/>
      <c r="H6" s="102" t="s">
        <v>23</v>
      </c>
      <c r="I6" s="102"/>
      <c r="J6" s="102"/>
    </row>
    <row r="7" spans="1:10" x14ac:dyDescent="0.2">
      <c r="E7" s="103" t="s">
        <v>20</v>
      </c>
      <c r="F7" s="103"/>
      <c r="G7" s="103"/>
      <c r="H7" s="102" t="s">
        <v>26</v>
      </c>
      <c r="I7" s="102"/>
      <c r="J7" s="102"/>
    </row>
    <row r="8" spans="1:10" x14ac:dyDescent="0.2">
      <c r="E8" s="103" t="s">
        <v>21</v>
      </c>
      <c r="F8" s="103"/>
      <c r="G8" s="103"/>
      <c r="H8" s="102" t="s">
        <v>35</v>
      </c>
      <c r="I8" s="102"/>
      <c r="J8" s="102"/>
    </row>
    <row r="9" spans="1:10" x14ac:dyDescent="0.2">
      <c r="E9" s="103" t="s">
        <v>22</v>
      </c>
      <c r="F9" s="103"/>
      <c r="G9" s="103"/>
      <c r="H9" s="102" t="s">
        <v>33</v>
      </c>
      <c r="I9" s="102"/>
      <c r="J9" s="102"/>
    </row>
    <row r="10" spans="1:10" ht="109" customHeight="1" x14ac:dyDescent="0.2">
      <c r="E10" s="103" t="s">
        <v>24</v>
      </c>
      <c r="F10" s="103"/>
      <c r="G10" s="103"/>
      <c r="H10" s="104" t="s">
        <v>25</v>
      </c>
      <c r="I10" s="102"/>
      <c r="J10" s="102"/>
    </row>
    <row r="11" spans="1:10" x14ac:dyDescent="0.2">
      <c r="E11" s="103" t="s">
        <v>27</v>
      </c>
      <c r="F11" s="103"/>
      <c r="G11" s="103"/>
      <c r="H11" s="102" t="s">
        <v>30</v>
      </c>
      <c r="I11" s="102"/>
      <c r="J11" s="102"/>
    </row>
    <row r="12" spans="1:10" x14ac:dyDescent="0.2">
      <c r="E12" s="103" t="s">
        <v>28</v>
      </c>
      <c r="F12" s="103"/>
      <c r="G12" s="103"/>
      <c r="H12" s="102" t="s">
        <v>31</v>
      </c>
      <c r="I12" s="102"/>
      <c r="J12" s="102"/>
    </row>
    <row r="13" spans="1:10" x14ac:dyDescent="0.2">
      <c r="E13" s="103" t="s">
        <v>29</v>
      </c>
      <c r="F13" s="103"/>
      <c r="G13" s="103"/>
      <c r="H13" s="102" t="s">
        <v>32</v>
      </c>
      <c r="I13" s="102"/>
      <c r="J13" s="102"/>
    </row>
    <row r="14" spans="1:10" x14ac:dyDescent="0.2">
      <c r="E14" s="103" t="s">
        <v>34</v>
      </c>
      <c r="F14" s="103"/>
      <c r="G14" s="103"/>
      <c r="H14" s="102" t="s">
        <v>34</v>
      </c>
      <c r="I14" s="102"/>
      <c r="J14" s="102"/>
    </row>
    <row r="15" spans="1:10" x14ac:dyDescent="0.2">
      <c r="E15" s="103" t="s">
        <v>34</v>
      </c>
      <c r="F15" s="103"/>
      <c r="G15" s="103"/>
      <c r="H15" s="102" t="s">
        <v>34</v>
      </c>
      <c r="I15" s="102"/>
      <c r="J15" s="102"/>
    </row>
    <row r="16" spans="1:10" x14ac:dyDescent="0.2">
      <c r="E16" s="103" t="s">
        <v>34</v>
      </c>
      <c r="F16" s="103"/>
      <c r="G16" s="103"/>
      <c r="H16" s="102" t="s">
        <v>34</v>
      </c>
      <c r="I16" s="102"/>
      <c r="J16" s="102"/>
    </row>
    <row r="17" spans="5:10" x14ac:dyDescent="0.2">
      <c r="E17" s="103" t="s">
        <v>34</v>
      </c>
      <c r="F17" s="103"/>
      <c r="G17" s="103"/>
      <c r="H17" s="102" t="s">
        <v>34</v>
      </c>
      <c r="I17" s="102"/>
      <c r="J17" s="102"/>
    </row>
  </sheetData>
  <mergeCells count="33">
    <mergeCell ref="E10:G10"/>
    <mergeCell ref="A2:C2"/>
    <mergeCell ref="E2:G2"/>
    <mergeCell ref="H2:J2"/>
    <mergeCell ref="E3:G3"/>
    <mergeCell ref="H3:J3"/>
    <mergeCell ref="E4:G4"/>
    <mergeCell ref="E5:G5"/>
    <mergeCell ref="E6:G6"/>
    <mergeCell ref="E7:G7"/>
    <mergeCell ref="E8:G8"/>
    <mergeCell ref="E9:G9"/>
    <mergeCell ref="E17:G17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E11:G11"/>
    <mergeCell ref="E12:G12"/>
    <mergeCell ref="E13:G13"/>
    <mergeCell ref="E14:G14"/>
    <mergeCell ref="E15:G15"/>
    <mergeCell ref="E16:G16"/>
    <mergeCell ref="H13:J13"/>
    <mergeCell ref="H14:J14"/>
    <mergeCell ref="H15:J15"/>
    <mergeCell ref="H16:J16"/>
    <mergeCell ref="H17:J17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zoomScale="200" zoomScaleNormal="200" zoomScalePageLayoutView="200" workbookViewId="0">
      <selection activeCell="F14" sqref="F14:N14"/>
    </sheetView>
  </sheetViews>
  <sheetFormatPr baseColWidth="10" defaultRowHeight="16" x14ac:dyDescent="0.2"/>
  <cols>
    <col min="1" max="3" width="2.33203125" customWidth="1"/>
    <col min="4" max="4" width="1.83203125" customWidth="1"/>
    <col min="5" max="5" width="7.83203125" customWidth="1"/>
    <col min="6" max="6" width="10.83203125" customWidth="1"/>
    <col min="15" max="15" width="4.33203125" customWidth="1"/>
  </cols>
  <sheetData>
    <row r="1" spans="1:14" ht="18" thickTop="1" thickBot="1" x14ac:dyDescent="0.25">
      <c r="A1" s="1" t="s">
        <v>0</v>
      </c>
      <c r="B1" s="2" t="s">
        <v>1</v>
      </c>
      <c r="C1" s="3" t="s">
        <v>2</v>
      </c>
    </row>
    <row r="2" spans="1:14" ht="21" thickTop="1" thickBot="1" x14ac:dyDescent="0.25">
      <c r="A2" s="80" t="s">
        <v>3</v>
      </c>
      <c r="B2" s="81"/>
      <c r="C2" s="82"/>
      <c r="E2" s="75" t="s">
        <v>3</v>
      </c>
      <c r="F2" s="76"/>
    </row>
    <row r="3" spans="1:14" ht="21" thickTop="1" thickBot="1" x14ac:dyDescent="0.3">
      <c r="E3" s="13" t="s">
        <v>39</v>
      </c>
      <c r="F3" s="114" t="s">
        <v>37</v>
      </c>
      <c r="G3" s="115"/>
      <c r="H3" s="115"/>
      <c r="I3" s="115"/>
      <c r="J3" s="115"/>
      <c r="K3" s="115"/>
      <c r="L3" s="115"/>
      <c r="M3" s="115"/>
      <c r="N3" s="116"/>
    </row>
    <row r="4" spans="1:14" ht="21" thickTop="1" thickBot="1" x14ac:dyDescent="0.3">
      <c r="E4" s="13" t="s">
        <v>40</v>
      </c>
      <c r="F4" s="77" t="s">
        <v>38</v>
      </c>
      <c r="G4" s="78"/>
      <c r="H4" s="78"/>
      <c r="I4" s="78"/>
      <c r="J4" s="78"/>
      <c r="K4" s="78"/>
      <c r="L4" s="78"/>
      <c r="M4" s="78"/>
      <c r="N4" s="79"/>
    </row>
    <row r="5" spans="1:14" ht="21" thickTop="1" thickBot="1" x14ac:dyDescent="0.3">
      <c r="E5" s="13" t="s">
        <v>41</v>
      </c>
      <c r="F5" s="77" t="s">
        <v>4</v>
      </c>
      <c r="G5" s="78"/>
      <c r="H5" s="78"/>
      <c r="I5" s="78"/>
      <c r="J5" s="78"/>
      <c r="K5" s="78"/>
      <c r="L5" s="78"/>
      <c r="M5" s="78"/>
      <c r="N5" s="79"/>
    </row>
    <row r="6" spans="1:14" ht="21" thickTop="1" thickBot="1" x14ac:dyDescent="0.3">
      <c r="E6" s="13" t="s">
        <v>42</v>
      </c>
      <c r="F6" s="5" t="s">
        <v>5</v>
      </c>
      <c r="G6" s="6"/>
      <c r="H6" s="6"/>
      <c r="I6" s="6"/>
      <c r="J6" s="6"/>
      <c r="K6" s="6"/>
      <c r="L6" s="6"/>
      <c r="M6" s="6"/>
      <c r="N6" s="7"/>
    </row>
    <row r="7" spans="1:14" ht="21" thickTop="1" thickBot="1" x14ac:dyDescent="0.3">
      <c r="E7" s="13" t="s">
        <v>43</v>
      </c>
      <c r="F7" s="5" t="s">
        <v>6</v>
      </c>
      <c r="G7" s="6"/>
      <c r="H7" s="6"/>
      <c r="I7" s="6"/>
      <c r="J7" s="6"/>
      <c r="K7" s="6"/>
      <c r="L7" s="6"/>
      <c r="M7" s="6"/>
      <c r="N7" s="7"/>
    </row>
    <row r="8" spans="1:14" ht="21" thickTop="1" thickBot="1" x14ac:dyDescent="0.3">
      <c r="E8" s="14">
        <v>2</v>
      </c>
      <c r="F8" s="114" t="s">
        <v>70</v>
      </c>
      <c r="G8" s="115"/>
      <c r="H8" s="115"/>
      <c r="I8" s="115"/>
      <c r="J8" s="115"/>
      <c r="K8" s="115"/>
      <c r="L8" s="115"/>
      <c r="M8" s="115"/>
      <c r="N8" s="116"/>
    </row>
    <row r="9" spans="1:14" ht="21" thickTop="1" thickBot="1" x14ac:dyDescent="0.3">
      <c r="E9" s="14">
        <v>3</v>
      </c>
      <c r="F9" s="114" t="s">
        <v>71</v>
      </c>
      <c r="G9" s="115"/>
      <c r="H9" s="115"/>
      <c r="I9" s="115"/>
      <c r="J9" s="115"/>
      <c r="K9" s="115"/>
      <c r="L9" s="115"/>
      <c r="M9" s="115"/>
      <c r="N9" s="116"/>
    </row>
    <row r="10" spans="1:14" ht="21" thickTop="1" thickBot="1" x14ac:dyDescent="0.3">
      <c r="E10" s="13" t="s">
        <v>44</v>
      </c>
      <c r="F10" s="117" t="s">
        <v>165</v>
      </c>
      <c r="G10" s="118"/>
      <c r="H10" s="118"/>
      <c r="I10" s="118"/>
      <c r="J10" s="118"/>
      <c r="K10" s="118"/>
      <c r="L10" s="118"/>
      <c r="M10" s="118"/>
      <c r="N10" s="119"/>
    </row>
    <row r="11" spans="1:14" ht="21" thickTop="1" thickBot="1" x14ac:dyDescent="0.3">
      <c r="E11" s="13" t="s">
        <v>46</v>
      </c>
      <c r="F11" s="117" t="s">
        <v>47</v>
      </c>
      <c r="G11" s="118"/>
      <c r="H11" s="118"/>
      <c r="I11" s="118"/>
      <c r="J11" s="118"/>
      <c r="K11" s="118"/>
      <c r="L11" s="118"/>
      <c r="M11" s="118"/>
      <c r="N11" s="119"/>
    </row>
    <row r="12" spans="1:14" ht="21" thickTop="1" thickBot="1" x14ac:dyDescent="0.3">
      <c r="E12" s="13" t="s">
        <v>52</v>
      </c>
      <c r="F12" s="77" t="s">
        <v>55</v>
      </c>
      <c r="G12" s="78"/>
      <c r="H12" s="78"/>
      <c r="I12" s="78"/>
      <c r="J12" s="78"/>
      <c r="K12" s="78"/>
      <c r="L12" s="78"/>
      <c r="M12" s="78"/>
      <c r="N12" s="79"/>
    </row>
    <row r="13" spans="1:14" ht="21" thickTop="1" thickBot="1" x14ac:dyDescent="0.3">
      <c r="E13" s="13" t="s">
        <v>53</v>
      </c>
      <c r="F13" s="77" t="s">
        <v>56</v>
      </c>
      <c r="G13" s="78"/>
      <c r="H13" s="78"/>
      <c r="I13" s="78"/>
      <c r="J13" s="78"/>
      <c r="K13" s="78"/>
      <c r="L13" s="78"/>
      <c r="M13" s="78"/>
      <c r="N13" s="79"/>
    </row>
    <row r="14" spans="1:14" ht="21" thickTop="1" thickBot="1" x14ac:dyDescent="0.3">
      <c r="E14" s="13" t="s">
        <v>54</v>
      </c>
      <c r="F14" s="77" t="s">
        <v>57</v>
      </c>
      <c r="G14" s="78"/>
      <c r="H14" s="78"/>
      <c r="I14" s="78"/>
      <c r="J14" s="78"/>
      <c r="K14" s="78"/>
      <c r="L14" s="78"/>
      <c r="M14" s="78"/>
      <c r="N14" s="79"/>
    </row>
    <row r="15" spans="1:14" ht="21" thickTop="1" thickBot="1" x14ac:dyDescent="0.3">
      <c r="E15" s="13" t="s">
        <v>48</v>
      </c>
      <c r="F15" s="117" t="s">
        <v>49</v>
      </c>
      <c r="G15" s="118"/>
      <c r="H15" s="118"/>
      <c r="I15" s="118"/>
      <c r="J15" s="118"/>
      <c r="K15" s="118"/>
      <c r="L15" s="118"/>
      <c r="M15" s="118"/>
      <c r="N15" s="119"/>
    </row>
    <row r="16" spans="1:14" ht="21" thickTop="1" thickBot="1" x14ac:dyDescent="0.3">
      <c r="E16" s="13" t="s">
        <v>58</v>
      </c>
      <c r="F16" s="77" t="s">
        <v>61</v>
      </c>
      <c r="G16" s="78"/>
      <c r="H16" s="78"/>
      <c r="I16" s="78"/>
      <c r="J16" s="78"/>
      <c r="K16" s="78"/>
      <c r="L16" s="78"/>
      <c r="M16" s="78"/>
      <c r="N16" s="79"/>
    </row>
    <row r="17" spans="5:16" ht="21" thickTop="1" thickBot="1" x14ac:dyDescent="0.3">
      <c r="E17" s="13" t="s">
        <v>59</v>
      </c>
      <c r="F17" s="77" t="s">
        <v>62</v>
      </c>
      <c r="G17" s="78"/>
      <c r="H17" s="78"/>
      <c r="I17" s="78"/>
      <c r="J17" s="78"/>
      <c r="K17" s="78"/>
      <c r="L17" s="78"/>
      <c r="M17" s="78"/>
      <c r="N17" s="79"/>
    </row>
    <row r="18" spans="5:16" ht="21" thickTop="1" thickBot="1" x14ac:dyDescent="0.3">
      <c r="E18" s="13" t="s">
        <v>60</v>
      </c>
      <c r="F18" s="77" t="s">
        <v>63</v>
      </c>
      <c r="G18" s="78"/>
      <c r="H18" s="78"/>
      <c r="I18" s="78"/>
      <c r="J18" s="78"/>
      <c r="K18" s="78"/>
      <c r="L18" s="78"/>
      <c r="M18" s="78"/>
      <c r="N18" s="79"/>
    </row>
    <row r="19" spans="5:16" ht="21" thickTop="1" thickBot="1" x14ac:dyDescent="0.3">
      <c r="E19" s="13" t="s">
        <v>50</v>
      </c>
      <c r="F19" s="117" t="s">
        <v>51</v>
      </c>
      <c r="G19" s="118"/>
      <c r="H19" s="118"/>
      <c r="I19" s="118"/>
      <c r="J19" s="118"/>
      <c r="K19" s="118"/>
      <c r="L19" s="118"/>
      <c r="M19" s="118"/>
      <c r="N19" s="119"/>
    </row>
    <row r="20" spans="5:16" ht="21" thickTop="1" thickBot="1" x14ac:dyDescent="0.3">
      <c r="E20" s="13" t="s">
        <v>67</v>
      </c>
      <c r="F20" s="77" t="s">
        <v>64</v>
      </c>
      <c r="G20" s="78"/>
      <c r="H20" s="78"/>
      <c r="I20" s="78"/>
      <c r="J20" s="78"/>
      <c r="K20" s="78"/>
      <c r="L20" s="78"/>
      <c r="M20" s="78"/>
      <c r="N20" s="79"/>
      <c r="P20" s="11" t="s">
        <v>8</v>
      </c>
    </row>
    <row r="21" spans="5:16" ht="21" thickTop="1" thickBot="1" x14ac:dyDescent="0.3">
      <c r="E21" s="13" t="s">
        <v>68</v>
      </c>
      <c r="F21" s="77" t="s">
        <v>65</v>
      </c>
      <c r="G21" s="78"/>
      <c r="H21" s="78"/>
      <c r="I21" s="78"/>
      <c r="J21" s="78"/>
      <c r="K21" s="78"/>
      <c r="L21" s="78"/>
      <c r="M21" s="78"/>
      <c r="N21" s="79"/>
    </row>
    <row r="22" spans="5:16" ht="21" thickTop="1" thickBot="1" x14ac:dyDescent="0.3">
      <c r="E22" s="13" t="s">
        <v>69</v>
      </c>
      <c r="F22" s="77" t="s">
        <v>66</v>
      </c>
      <c r="G22" s="78"/>
      <c r="H22" s="78"/>
      <c r="I22" s="78"/>
      <c r="J22" s="78"/>
      <c r="K22" s="78"/>
      <c r="L22" s="78"/>
      <c r="M22" s="78"/>
      <c r="N22" s="79"/>
    </row>
    <row r="23" spans="5:16" ht="17" thickTop="1" x14ac:dyDescent="0.2"/>
  </sheetData>
  <mergeCells count="20">
    <mergeCell ref="F22:N22"/>
    <mergeCell ref="F3:N3"/>
    <mergeCell ref="F4:N4"/>
    <mergeCell ref="F8:N8"/>
    <mergeCell ref="F14:N14"/>
    <mergeCell ref="F15:N15"/>
    <mergeCell ref="F16:N16"/>
    <mergeCell ref="F17:N17"/>
    <mergeCell ref="F18:N18"/>
    <mergeCell ref="F19:N19"/>
    <mergeCell ref="F9:N9"/>
    <mergeCell ref="F10:N10"/>
    <mergeCell ref="F11:N11"/>
    <mergeCell ref="F12:N12"/>
    <mergeCell ref="F13:N13"/>
    <mergeCell ref="A2:C2"/>
    <mergeCell ref="E2:F2"/>
    <mergeCell ref="F5:N5"/>
    <mergeCell ref="F20:N20"/>
    <mergeCell ref="F21:N21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topLeftCell="A3" zoomScale="92" zoomScaleNormal="92" zoomScalePageLayoutView="92" workbookViewId="0"/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11" width="22.6640625" customWidth="1"/>
  </cols>
  <sheetData>
    <row r="1" spans="1:11" ht="18" thickTop="1" thickBot="1" x14ac:dyDescent="0.25">
      <c r="A1" s="1" t="s">
        <v>0</v>
      </c>
      <c r="B1" s="4" t="s">
        <v>1</v>
      </c>
      <c r="C1" s="10" t="s">
        <v>2</v>
      </c>
    </row>
    <row r="2" spans="1:11" ht="21" thickTop="1" thickBot="1" x14ac:dyDescent="0.25">
      <c r="E2" s="9" t="s">
        <v>0</v>
      </c>
      <c r="F2" s="9" t="s">
        <v>0</v>
      </c>
      <c r="G2" s="9" t="s">
        <v>0</v>
      </c>
      <c r="H2" s="9" t="s">
        <v>0</v>
      </c>
      <c r="I2" s="9" t="s">
        <v>0</v>
      </c>
      <c r="J2" s="9" t="s">
        <v>0</v>
      </c>
      <c r="K2" s="9" t="s">
        <v>0</v>
      </c>
    </row>
    <row r="3" spans="1:11" ht="21" thickTop="1" thickBot="1" x14ac:dyDescent="0.3">
      <c r="E3" s="8">
        <v>1</v>
      </c>
      <c r="F3" s="10" t="s">
        <v>4</v>
      </c>
      <c r="G3" s="10"/>
      <c r="H3" s="10"/>
      <c r="I3" s="10"/>
      <c r="J3" s="10"/>
      <c r="K3" s="10"/>
    </row>
    <row r="4" spans="1:11" ht="18" thickTop="1" thickBot="1" x14ac:dyDescent="0.25">
      <c r="A4" s="80" t="s">
        <v>3</v>
      </c>
      <c r="B4" s="81"/>
      <c r="C4" s="82"/>
    </row>
    <row r="5" spans="1:11" ht="17" thickTop="1" x14ac:dyDescent="0.2">
      <c r="F5" t="s">
        <v>72</v>
      </c>
      <c r="G5" t="s">
        <v>73</v>
      </c>
      <c r="H5" s="15">
        <v>200</v>
      </c>
    </row>
    <row r="6" spans="1:11" x14ac:dyDescent="0.2">
      <c r="G6" t="s">
        <v>74</v>
      </c>
      <c r="H6" s="15">
        <v>400</v>
      </c>
    </row>
    <row r="7" spans="1:11" x14ac:dyDescent="0.2">
      <c r="G7" s="17" t="s">
        <v>75</v>
      </c>
      <c r="H7" s="18">
        <v>100</v>
      </c>
    </row>
    <row r="8" spans="1:11" x14ac:dyDescent="0.2">
      <c r="G8" s="16" t="s">
        <v>76</v>
      </c>
      <c r="H8" s="15">
        <f>200+400</f>
        <v>600</v>
      </c>
    </row>
    <row r="10" spans="1:11" x14ac:dyDescent="0.2">
      <c r="F10" t="s">
        <v>21</v>
      </c>
      <c r="G10" t="s">
        <v>77</v>
      </c>
      <c r="H10">
        <v>5</v>
      </c>
      <c r="I10" t="s">
        <v>79</v>
      </c>
    </row>
    <row r="11" spans="1:11" x14ac:dyDescent="0.2">
      <c r="G11" t="s">
        <v>21</v>
      </c>
      <c r="H11" s="15">
        <f>5/60</f>
        <v>8.3333333333333329E-2</v>
      </c>
    </row>
    <row r="12" spans="1:11" x14ac:dyDescent="0.2">
      <c r="G12" t="s">
        <v>78</v>
      </c>
      <c r="H12">
        <v>7</v>
      </c>
      <c r="I12" t="s">
        <v>79</v>
      </c>
    </row>
    <row r="13" spans="1:11" x14ac:dyDescent="0.2">
      <c r="G13" t="s">
        <v>21</v>
      </c>
      <c r="H13" s="15">
        <f>+H12/60</f>
        <v>0.11666666666666667</v>
      </c>
    </row>
    <row r="15" spans="1:11" x14ac:dyDescent="0.2">
      <c r="F15" t="s">
        <v>80</v>
      </c>
      <c r="G15" t="s">
        <v>81</v>
      </c>
      <c r="H15" s="15">
        <v>100000</v>
      </c>
    </row>
    <row r="16" spans="1:11" x14ac:dyDescent="0.2">
      <c r="G16" t="s">
        <v>82</v>
      </c>
      <c r="H16" s="15">
        <v>6312</v>
      </c>
    </row>
    <row r="17" spans="7:9" x14ac:dyDescent="0.2">
      <c r="G17" t="s">
        <v>80</v>
      </c>
      <c r="H17" s="20">
        <f>+H16*100%/H15</f>
        <v>6.3119999999999996E-2</v>
      </c>
      <c r="I17" t="s">
        <v>83</v>
      </c>
    </row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zoomScale="74" zoomScaleNormal="74" zoomScalePageLayoutView="74" workbookViewId="0"/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7" width="22.6640625" customWidth="1"/>
    <col min="8" max="8" width="5" customWidth="1"/>
    <col min="9" max="9" width="22.6640625" customWidth="1"/>
    <col min="10" max="10" width="12.33203125" customWidth="1"/>
    <col min="11" max="11" width="13.1640625" customWidth="1"/>
    <col min="14" max="14" width="14.5" bestFit="1" customWidth="1"/>
  </cols>
  <sheetData>
    <row r="1" spans="1:15" ht="18" thickTop="1" thickBot="1" x14ac:dyDescent="0.25">
      <c r="A1" s="1" t="s">
        <v>0</v>
      </c>
      <c r="B1" s="4" t="s">
        <v>1</v>
      </c>
      <c r="C1" s="10" t="s">
        <v>2</v>
      </c>
      <c r="J1" s="21" t="s">
        <v>98</v>
      </c>
    </row>
    <row r="2" spans="1:15" ht="21" thickTop="1" thickBot="1" x14ac:dyDescent="0.25">
      <c r="E2" s="9" t="s">
        <v>0</v>
      </c>
      <c r="F2" s="9" t="s">
        <v>0</v>
      </c>
      <c r="G2" s="9" t="s">
        <v>0</v>
      </c>
      <c r="I2" s="9" t="s">
        <v>88</v>
      </c>
      <c r="J2" s="9" t="s">
        <v>93</v>
      </c>
      <c r="K2" s="9" t="s">
        <v>94</v>
      </c>
      <c r="L2" s="12" t="s">
        <v>95</v>
      </c>
      <c r="M2" s="12" t="s">
        <v>96</v>
      </c>
      <c r="N2" s="12" t="s">
        <v>5</v>
      </c>
      <c r="O2" s="12" t="s">
        <v>97</v>
      </c>
    </row>
    <row r="3" spans="1:15" ht="21" thickTop="1" thickBot="1" x14ac:dyDescent="0.3">
      <c r="E3" s="8">
        <v>1</v>
      </c>
      <c r="F3" s="10" t="s">
        <v>5</v>
      </c>
      <c r="G3" s="10"/>
      <c r="I3" s="10" t="s">
        <v>89</v>
      </c>
      <c r="J3" s="15">
        <v>0</v>
      </c>
      <c r="K3" s="15">
        <v>100</v>
      </c>
      <c r="L3" s="15">
        <f>+K3</f>
        <v>100</v>
      </c>
      <c r="M3" s="15">
        <v>0</v>
      </c>
      <c r="N3" s="15">
        <f>+J1*K3</f>
        <v>7.0000000000000009</v>
      </c>
      <c r="O3" s="15">
        <f>+N3-M3</f>
        <v>7.0000000000000009</v>
      </c>
    </row>
    <row r="4" spans="1:15" ht="18" thickTop="1" thickBot="1" x14ac:dyDescent="0.25">
      <c r="A4" s="80" t="s">
        <v>3</v>
      </c>
      <c r="B4" s="81"/>
      <c r="C4" s="82"/>
      <c r="I4" s="10" t="s">
        <v>90</v>
      </c>
      <c r="J4" s="15">
        <f>+K3</f>
        <v>100</v>
      </c>
      <c r="K4" s="15">
        <v>300</v>
      </c>
      <c r="L4" s="15">
        <f>+K4-J4</f>
        <v>200</v>
      </c>
      <c r="M4" s="15">
        <f>+N3</f>
        <v>7.0000000000000009</v>
      </c>
      <c r="N4" s="15">
        <f>+J1*K4</f>
        <v>21.000000000000004</v>
      </c>
      <c r="O4" s="15">
        <f t="shared" ref="O4:O5" si="0">+N4-M4</f>
        <v>14.000000000000004</v>
      </c>
    </row>
    <row r="5" spans="1:15" ht="18" thickTop="1" thickBot="1" x14ac:dyDescent="0.25">
      <c r="F5" t="s">
        <v>84</v>
      </c>
      <c r="G5" s="15">
        <v>1234.56</v>
      </c>
      <c r="I5" s="10" t="s">
        <v>91</v>
      </c>
      <c r="J5" s="15">
        <f>+K4</f>
        <v>300</v>
      </c>
      <c r="K5" s="15">
        <v>600</v>
      </c>
      <c r="L5" s="15">
        <f>+K5-J5</f>
        <v>300</v>
      </c>
      <c r="M5" s="15">
        <f>+N4</f>
        <v>21.000000000000004</v>
      </c>
      <c r="N5" s="15">
        <f>+J1*K5</f>
        <v>42.000000000000007</v>
      </c>
      <c r="O5" s="15">
        <f t="shared" si="0"/>
        <v>21.000000000000004</v>
      </c>
    </row>
    <row r="6" spans="1:15" ht="18" thickTop="1" thickBot="1" x14ac:dyDescent="0.25">
      <c r="F6" t="s">
        <v>86</v>
      </c>
      <c r="G6" s="15">
        <f>+G5/119*19</f>
        <v>197.11462184873949</v>
      </c>
      <c r="I6" s="10" t="s">
        <v>92</v>
      </c>
      <c r="J6" s="15">
        <f>+K5</f>
        <v>600</v>
      </c>
      <c r="K6" s="15">
        <v>0</v>
      </c>
      <c r="L6" s="15">
        <v>0</v>
      </c>
      <c r="M6" s="15">
        <f>+N5</f>
        <v>42.000000000000007</v>
      </c>
      <c r="N6" s="15"/>
      <c r="O6" s="15"/>
    </row>
    <row r="7" spans="1:15" ht="17" thickTop="1" x14ac:dyDescent="0.2">
      <c r="F7" t="s">
        <v>85</v>
      </c>
      <c r="G7" s="15">
        <f>+G5/119*100</f>
        <v>1037.4453781512605</v>
      </c>
      <c r="K7" t="s">
        <v>99</v>
      </c>
      <c r="M7" s="19">
        <f>+J6+M6</f>
        <v>642</v>
      </c>
    </row>
    <row r="8" spans="1:15" x14ac:dyDescent="0.2">
      <c r="F8" t="s">
        <v>87</v>
      </c>
      <c r="G8" s="19">
        <f>+G7+G6</f>
        <v>1234.56</v>
      </c>
      <c r="K8" t="s">
        <v>100</v>
      </c>
    </row>
    <row r="9" spans="1:15" ht="17" thickBot="1" x14ac:dyDescent="0.25">
      <c r="K9" t="s">
        <v>101</v>
      </c>
    </row>
    <row r="10" spans="1:15" ht="18" thickTop="1" thickBot="1" x14ac:dyDescent="0.25">
      <c r="F10" s="10" t="s">
        <v>5</v>
      </c>
      <c r="G10" s="10"/>
    </row>
    <row r="11" spans="1:15" ht="17" thickTop="1" x14ac:dyDescent="0.2"/>
    <row r="12" spans="1:15" x14ac:dyDescent="0.2">
      <c r="F12" t="s">
        <v>103</v>
      </c>
    </row>
    <row r="13" spans="1:15" x14ac:dyDescent="0.2">
      <c r="F13" t="s">
        <v>84</v>
      </c>
      <c r="G13" s="15">
        <v>1234.56</v>
      </c>
    </row>
    <row r="14" spans="1:15" x14ac:dyDescent="0.2">
      <c r="F14" t="s">
        <v>102</v>
      </c>
      <c r="G14" s="15">
        <f>+G13/103*3</f>
        <v>35.958058252427179</v>
      </c>
    </row>
    <row r="15" spans="1:15" x14ac:dyDescent="0.2">
      <c r="F15" t="s">
        <v>85</v>
      </c>
      <c r="G15" s="15">
        <f>+G13/103*100</f>
        <v>1198.6019417475727</v>
      </c>
    </row>
    <row r="16" spans="1:15" x14ac:dyDescent="0.2">
      <c r="F16" t="s">
        <v>87</v>
      </c>
      <c r="G16" s="15">
        <f>+G14+G15</f>
        <v>1234.56</v>
      </c>
    </row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topLeftCell="D7" zoomScale="85" zoomScaleNormal="85" zoomScalePageLayoutView="85" workbookViewId="0">
      <selection activeCell="I25" sqref="I25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11" width="22.6640625" customWidth="1"/>
  </cols>
  <sheetData>
    <row r="1" spans="1:11" ht="18" thickTop="1" thickBot="1" x14ac:dyDescent="0.25">
      <c r="A1" s="1" t="s">
        <v>0</v>
      </c>
      <c r="B1" s="4" t="s">
        <v>1</v>
      </c>
      <c r="C1" s="10" t="s">
        <v>2</v>
      </c>
    </row>
    <row r="2" spans="1:11" ht="21" thickTop="1" thickBot="1" x14ac:dyDescent="0.25">
      <c r="E2" s="9"/>
      <c r="F2" s="9"/>
      <c r="G2" s="9"/>
      <c r="H2" s="9"/>
      <c r="I2" s="9"/>
      <c r="J2" s="9"/>
      <c r="K2" s="9"/>
    </row>
    <row r="3" spans="1:11" ht="21" thickTop="1" thickBot="1" x14ac:dyDescent="0.3">
      <c r="E3" s="8"/>
      <c r="F3" s="10" t="s">
        <v>6</v>
      </c>
      <c r="G3" s="10"/>
      <c r="H3" s="10"/>
      <c r="I3" s="10"/>
      <c r="J3" s="10"/>
      <c r="K3" s="10"/>
    </row>
    <row r="4" spans="1:11" ht="18" thickTop="1" thickBot="1" x14ac:dyDescent="0.25">
      <c r="A4" s="80" t="s">
        <v>3</v>
      </c>
      <c r="B4" s="81"/>
      <c r="C4" s="82"/>
      <c r="F4" s="32" t="s">
        <v>113</v>
      </c>
      <c r="G4" s="32"/>
      <c r="H4" s="32"/>
      <c r="I4" s="32" t="s">
        <v>115</v>
      </c>
      <c r="J4" s="34">
        <v>19</v>
      </c>
      <c r="K4" s="32"/>
    </row>
    <row r="5" spans="1:11" ht="18" thickTop="1" thickBot="1" x14ac:dyDescent="0.25">
      <c r="F5" s="25" t="s">
        <v>112</v>
      </c>
      <c r="G5" s="31">
        <v>1234.56</v>
      </c>
      <c r="H5" s="26" t="s">
        <v>104</v>
      </c>
      <c r="I5" s="26"/>
      <c r="J5" s="26" t="s">
        <v>108</v>
      </c>
      <c r="K5" s="26" t="s">
        <v>109</v>
      </c>
    </row>
    <row r="6" spans="1:11" ht="18" thickTop="1" thickBot="1" x14ac:dyDescent="0.25">
      <c r="G6" s="26" t="s">
        <v>110</v>
      </c>
      <c r="H6" s="26"/>
      <c r="I6" s="26"/>
      <c r="J6" s="26" t="s">
        <v>111</v>
      </c>
      <c r="K6" s="30">
        <v>0.2</v>
      </c>
    </row>
    <row r="7" spans="1:11" ht="21" thickTop="1" thickBot="1" x14ac:dyDescent="0.25">
      <c r="G7" s="22" t="s">
        <v>105</v>
      </c>
      <c r="H7" s="22" t="s">
        <v>106</v>
      </c>
      <c r="I7" s="22" t="s">
        <v>114</v>
      </c>
      <c r="J7" s="22" t="s">
        <v>107</v>
      </c>
      <c r="K7" s="22" t="s">
        <v>114</v>
      </c>
    </row>
    <row r="8" spans="1:11" ht="17" thickTop="1" x14ac:dyDescent="0.2">
      <c r="G8" s="33">
        <v>36892</v>
      </c>
      <c r="I8" s="15">
        <f>+$G$5/(100+J4)*100</f>
        <v>1037.4453781512605</v>
      </c>
      <c r="K8" s="19">
        <f>+I8</f>
        <v>1037.4453781512605</v>
      </c>
    </row>
    <row r="9" spans="1:11" x14ac:dyDescent="0.2">
      <c r="G9" s="33">
        <v>37256</v>
      </c>
      <c r="H9" s="15">
        <f>+$G$5/(100+$J$4)*100/5</f>
        <v>207.4890756302521</v>
      </c>
      <c r="I9" s="15">
        <f>+I8-H9</f>
        <v>829.95630252100841</v>
      </c>
      <c r="J9" s="19">
        <f>+$K$6*K8</f>
        <v>207.4890756302521</v>
      </c>
      <c r="K9" s="19">
        <f>+K8-J9</f>
        <v>829.95630252100841</v>
      </c>
    </row>
    <row r="10" spans="1:11" x14ac:dyDescent="0.2">
      <c r="G10" s="33">
        <v>37621</v>
      </c>
      <c r="H10" s="15">
        <f t="shared" ref="H10:H13" si="0">+$G$5/(100+$J$4)*100/5</f>
        <v>207.4890756302521</v>
      </c>
      <c r="I10" s="15">
        <f>+I9-H10</f>
        <v>622.46722689075636</v>
      </c>
      <c r="J10" s="19">
        <f t="shared" ref="J10:J12" si="1">+$K$6*K9</f>
        <v>165.9912605042017</v>
      </c>
      <c r="K10" s="19">
        <f t="shared" ref="K10:K13" si="2">+K9-J10</f>
        <v>663.96504201680671</v>
      </c>
    </row>
    <row r="11" spans="1:11" x14ac:dyDescent="0.2">
      <c r="G11" s="33">
        <v>37986</v>
      </c>
      <c r="H11" s="15">
        <f t="shared" si="0"/>
        <v>207.4890756302521</v>
      </c>
      <c r="I11" s="15">
        <f t="shared" ref="I11:I13" si="3">+I10-H11</f>
        <v>414.97815126050426</v>
      </c>
      <c r="J11" s="19">
        <f t="shared" si="1"/>
        <v>132.79300840336134</v>
      </c>
      <c r="K11" s="19">
        <f t="shared" si="2"/>
        <v>531.17203361344536</v>
      </c>
    </row>
    <row r="12" spans="1:11" x14ac:dyDescent="0.2">
      <c r="G12" s="33">
        <v>38352</v>
      </c>
      <c r="H12" s="15">
        <f t="shared" si="0"/>
        <v>207.4890756302521</v>
      </c>
      <c r="I12" s="15">
        <f t="shared" si="3"/>
        <v>207.48907563025216</v>
      </c>
      <c r="J12" s="19">
        <f t="shared" si="1"/>
        <v>106.23440672268907</v>
      </c>
      <c r="K12" s="19">
        <f t="shared" si="2"/>
        <v>424.93762689075629</v>
      </c>
    </row>
    <row r="13" spans="1:11" x14ac:dyDescent="0.2">
      <c r="G13" s="33">
        <v>38717</v>
      </c>
      <c r="H13" s="15">
        <f t="shared" si="0"/>
        <v>207.4890756302521</v>
      </c>
      <c r="I13" s="15">
        <f t="shared" si="3"/>
        <v>0</v>
      </c>
      <c r="J13" s="19">
        <f>+K12</f>
        <v>424.93762689075629</v>
      </c>
      <c r="K13" s="19">
        <f t="shared" si="2"/>
        <v>0</v>
      </c>
    </row>
    <row r="14" spans="1:11" ht="17" thickBot="1" x14ac:dyDescent="0.25">
      <c r="H14" s="19"/>
      <c r="I14" s="15"/>
    </row>
    <row r="15" spans="1:11" ht="18" thickTop="1" thickBot="1" x14ac:dyDescent="0.25">
      <c r="G15" s="26" t="s">
        <v>116</v>
      </c>
      <c r="H15" s="26"/>
    </row>
    <row r="16" spans="1:11" ht="21" thickTop="1" thickBot="1" x14ac:dyDescent="0.25">
      <c r="G16" s="22" t="s">
        <v>105</v>
      </c>
      <c r="H16" s="22" t="s">
        <v>106</v>
      </c>
      <c r="I16" s="22" t="s">
        <v>114</v>
      </c>
      <c r="J16" s="22" t="s">
        <v>107</v>
      </c>
      <c r="K16" s="22" t="s">
        <v>114</v>
      </c>
    </row>
    <row r="17" spans="7:11" ht="17" thickTop="1" x14ac:dyDescent="0.2">
      <c r="G17" s="33">
        <v>36892</v>
      </c>
      <c r="I17" s="15">
        <f>+I8</f>
        <v>1037.4453781512605</v>
      </c>
      <c r="K17" s="19">
        <f>+I17</f>
        <v>1037.4453781512605</v>
      </c>
    </row>
    <row r="18" spans="7:11" x14ac:dyDescent="0.2">
      <c r="G18" s="33">
        <v>37256</v>
      </c>
      <c r="H18" s="15">
        <f>+$G$5/(100+$J$4)*100/5</f>
        <v>207.4890756302521</v>
      </c>
      <c r="I18" s="15">
        <f>+I17-H18</f>
        <v>829.95630252100841</v>
      </c>
      <c r="J18" s="19">
        <f>+$K$6*K17</f>
        <v>207.4890756302521</v>
      </c>
      <c r="K18" s="19">
        <f>+K17-J18</f>
        <v>829.95630252100841</v>
      </c>
    </row>
    <row r="19" spans="7:11" x14ac:dyDescent="0.2">
      <c r="G19" s="33">
        <v>37621</v>
      </c>
      <c r="H19" s="15">
        <f t="shared" ref="H19:H21" si="4">+$G$5/(100+$J$4)*100/5</f>
        <v>207.4890756302521</v>
      </c>
      <c r="I19" s="15">
        <f>+I18-H19</f>
        <v>622.46722689075636</v>
      </c>
      <c r="J19" s="19">
        <f t="shared" ref="J19:J23" si="5">+$K$6*K18</f>
        <v>165.9912605042017</v>
      </c>
      <c r="K19" s="19">
        <f t="shared" ref="K19:K24" si="6">+K18-J19</f>
        <v>663.96504201680671</v>
      </c>
    </row>
    <row r="20" spans="7:11" x14ac:dyDescent="0.2">
      <c r="G20" s="33">
        <v>37986</v>
      </c>
      <c r="H20" s="15">
        <f t="shared" si="4"/>
        <v>207.4890756302521</v>
      </c>
      <c r="I20" s="15">
        <f t="shared" ref="I20:I23" si="7">+I19-H20</f>
        <v>414.97815126050426</v>
      </c>
      <c r="J20" s="19">
        <f t="shared" si="5"/>
        <v>132.79300840336134</v>
      </c>
      <c r="K20" s="19">
        <f t="shared" si="6"/>
        <v>531.17203361344536</v>
      </c>
    </row>
    <row r="21" spans="7:11" x14ac:dyDescent="0.2">
      <c r="G21" s="33">
        <v>38352</v>
      </c>
      <c r="H21" s="15">
        <f t="shared" si="4"/>
        <v>207.4890756302521</v>
      </c>
      <c r="I21" s="15">
        <f t="shared" si="7"/>
        <v>207.48907563025216</v>
      </c>
      <c r="J21" s="19">
        <f t="shared" si="5"/>
        <v>106.23440672268907</v>
      </c>
      <c r="K21" s="19">
        <f t="shared" si="6"/>
        <v>424.93762689075629</v>
      </c>
    </row>
    <row r="22" spans="7:11" x14ac:dyDescent="0.2">
      <c r="G22" s="33">
        <v>38717</v>
      </c>
      <c r="H22" s="15">
        <f>+$G$5/(100+$J$4)*100/5-1</f>
        <v>206.4890756302521</v>
      </c>
      <c r="I22" s="15">
        <f t="shared" si="7"/>
        <v>1.0000000000000568</v>
      </c>
      <c r="J22" s="19">
        <f t="shared" si="5"/>
        <v>84.987525378151261</v>
      </c>
      <c r="K22" s="19">
        <f t="shared" si="6"/>
        <v>339.95010151260504</v>
      </c>
    </row>
    <row r="23" spans="7:11" x14ac:dyDescent="0.2">
      <c r="G23" s="33">
        <v>39082</v>
      </c>
      <c r="H23" s="15">
        <v>0</v>
      </c>
      <c r="I23" s="15">
        <f t="shared" si="7"/>
        <v>1.0000000000000568</v>
      </c>
      <c r="J23" s="19">
        <f t="shared" si="5"/>
        <v>67.990020302521017</v>
      </c>
      <c r="K23" s="19">
        <f t="shared" si="6"/>
        <v>271.96008121008401</v>
      </c>
    </row>
    <row r="24" spans="7:11" x14ac:dyDescent="0.2">
      <c r="G24" s="33">
        <v>39447</v>
      </c>
      <c r="H24" s="15">
        <v>1</v>
      </c>
      <c r="I24" s="15">
        <v>0</v>
      </c>
      <c r="J24" s="19">
        <f t="shared" ref="J24" si="8">+K23</f>
        <v>271.96008121008401</v>
      </c>
      <c r="K24" s="19">
        <f t="shared" si="6"/>
        <v>0</v>
      </c>
    </row>
    <row r="25" spans="7:11" x14ac:dyDescent="0.2">
      <c r="K25" s="19"/>
    </row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topLeftCell="B21" zoomScale="77" zoomScaleNormal="77" zoomScalePageLayoutView="77" workbookViewId="0">
      <selection activeCell="I14" sqref="I14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7" width="22.6640625" customWidth="1"/>
    <col min="8" max="8" width="3" customWidth="1"/>
    <col min="9" max="12" width="22.6640625" customWidth="1"/>
  </cols>
  <sheetData>
    <row r="1" spans="1:12" ht="18" thickTop="1" thickBot="1" x14ac:dyDescent="0.25">
      <c r="A1" s="1" t="s">
        <v>0</v>
      </c>
      <c r="B1" s="4" t="s">
        <v>1</v>
      </c>
      <c r="C1" s="10" t="s">
        <v>2</v>
      </c>
    </row>
    <row r="2" spans="1:12" ht="21" thickTop="1" thickBot="1" x14ac:dyDescent="0.25">
      <c r="E2" s="9" t="s">
        <v>0</v>
      </c>
      <c r="F2" s="9" t="s">
        <v>0</v>
      </c>
      <c r="G2" s="9" t="s">
        <v>0</v>
      </c>
      <c r="I2" s="9" t="s">
        <v>0</v>
      </c>
      <c r="J2" s="9" t="s">
        <v>0</v>
      </c>
      <c r="K2" s="9" t="s">
        <v>0</v>
      </c>
      <c r="L2" s="22" t="s">
        <v>0</v>
      </c>
    </row>
    <row r="3" spans="1:12" ht="21" thickTop="1" thickBot="1" x14ac:dyDescent="0.3">
      <c r="E3" s="8">
        <v>1</v>
      </c>
      <c r="F3" s="10" t="s">
        <v>10</v>
      </c>
      <c r="G3" s="10"/>
      <c r="I3" s="10" t="s">
        <v>125</v>
      </c>
      <c r="J3" s="23"/>
      <c r="K3" s="35"/>
      <c r="L3" s="10" t="s">
        <v>126</v>
      </c>
    </row>
    <row r="4" spans="1:12" ht="18" thickTop="1" thickBot="1" x14ac:dyDescent="0.25">
      <c r="A4" s="80" t="s">
        <v>3</v>
      </c>
      <c r="B4" s="81"/>
      <c r="C4" s="82"/>
      <c r="F4" t="s">
        <v>124</v>
      </c>
      <c r="K4" s="36"/>
    </row>
    <row r="5" spans="1:12" ht="17" thickTop="1" x14ac:dyDescent="0.2">
      <c r="F5" t="s">
        <v>117</v>
      </c>
      <c r="G5" s="15">
        <v>200000</v>
      </c>
      <c r="I5" t="str">
        <f>+F5</f>
        <v>Grundstück</v>
      </c>
      <c r="J5" s="19">
        <f>+G5</f>
        <v>200000</v>
      </c>
      <c r="K5" s="36" t="s">
        <v>127</v>
      </c>
      <c r="L5" s="19">
        <f>+L12-L6-L7</f>
        <v>175900</v>
      </c>
    </row>
    <row r="6" spans="1:12" x14ac:dyDescent="0.2">
      <c r="F6" t="s">
        <v>118</v>
      </c>
      <c r="G6" s="15">
        <v>150000</v>
      </c>
      <c r="I6" t="str">
        <f t="shared" ref="I6:I11" si="0">+F6</f>
        <v>Gebäude</v>
      </c>
      <c r="J6" s="19">
        <f t="shared" ref="J6:J11" si="1">+G6</f>
        <v>150000</v>
      </c>
      <c r="K6" s="36" t="str">
        <f>+F12</f>
        <v xml:space="preserve">Verbindlichkeiten </v>
      </c>
      <c r="L6" s="19">
        <f>+G12</f>
        <v>50000</v>
      </c>
    </row>
    <row r="7" spans="1:12" x14ac:dyDescent="0.2">
      <c r="F7" t="s">
        <v>119</v>
      </c>
      <c r="G7" s="15">
        <v>20000</v>
      </c>
      <c r="I7" t="str">
        <f t="shared" si="0"/>
        <v>BGA</v>
      </c>
      <c r="J7" s="19">
        <f t="shared" si="1"/>
        <v>20000</v>
      </c>
      <c r="K7" s="36" t="str">
        <f>+F13</f>
        <v>Kredite</v>
      </c>
      <c r="L7" s="19">
        <f>+G13</f>
        <v>150000</v>
      </c>
    </row>
    <row r="8" spans="1:12" x14ac:dyDescent="0.2">
      <c r="F8" t="s">
        <v>120</v>
      </c>
      <c r="G8" s="15">
        <v>5000</v>
      </c>
      <c r="I8" t="str">
        <f t="shared" si="0"/>
        <v>Wurst</v>
      </c>
      <c r="J8" s="19">
        <f t="shared" si="1"/>
        <v>5000</v>
      </c>
      <c r="K8" s="36"/>
    </row>
    <row r="9" spans="1:12" x14ac:dyDescent="0.2">
      <c r="F9" t="s">
        <v>121</v>
      </c>
      <c r="G9" s="15">
        <v>300</v>
      </c>
      <c r="I9" t="str">
        <f t="shared" si="0"/>
        <v>Ketchup / Mayo</v>
      </c>
      <c r="J9" s="19">
        <f t="shared" si="1"/>
        <v>300</v>
      </c>
      <c r="K9" s="36"/>
    </row>
    <row r="10" spans="1:12" x14ac:dyDescent="0.2">
      <c r="F10" t="s">
        <v>73</v>
      </c>
      <c r="G10" s="15">
        <v>400</v>
      </c>
      <c r="I10" t="str">
        <f t="shared" si="0"/>
        <v>Bank</v>
      </c>
      <c r="J10" s="19">
        <f t="shared" si="1"/>
        <v>400</v>
      </c>
      <c r="K10" s="36"/>
    </row>
    <row r="11" spans="1:12" ht="17" thickBot="1" x14ac:dyDescent="0.25">
      <c r="F11" t="s">
        <v>74</v>
      </c>
      <c r="G11" s="15">
        <v>200</v>
      </c>
      <c r="I11" t="str">
        <f t="shared" si="0"/>
        <v>Kasse</v>
      </c>
      <c r="J11" s="19">
        <f t="shared" si="1"/>
        <v>200</v>
      </c>
      <c r="K11" s="36"/>
    </row>
    <row r="12" spans="1:12" ht="17" thickTop="1" x14ac:dyDescent="0.2">
      <c r="F12" t="s">
        <v>122</v>
      </c>
      <c r="G12" s="15">
        <v>50000</v>
      </c>
      <c r="I12" s="37"/>
      <c r="J12" s="39">
        <f>SUM(J5:J11)</f>
        <v>375900</v>
      </c>
      <c r="K12" s="38"/>
      <c r="L12" s="39">
        <f>+J12</f>
        <v>375900</v>
      </c>
    </row>
    <row r="13" spans="1:12" x14ac:dyDescent="0.2">
      <c r="F13" t="s">
        <v>123</v>
      </c>
      <c r="G13" s="15">
        <v>150000</v>
      </c>
    </row>
  </sheetData>
  <mergeCells count="1">
    <mergeCell ref="A4:C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tabSelected="1" topLeftCell="H1" zoomScale="125" zoomScaleNormal="125" zoomScalePageLayoutView="125" workbookViewId="0">
      <selection activeCell="F27" sqref="F27"/>
    </sheetView>
  </sheetViews>
  <sheetFormatPr baseColWidth="10" defaultRowHeight="16" x14ac:dyDescent="0.2"/>
  <cols>
    <col min="1" max="3" width="2.33203125" customWidth="1"/>
    <col min="4" max="4" width="10.83203125" customWidth="1"/>
    <col min="5" max="5" width="4.83203125" customWidth="1"/>
    <col min="6" max="6" width="22.6640625" customWidth="1"/>
    <col min="7" max="7" width="24.33203125" bestFit="1" customWidth="1"/>
    <col min="8" max="8" width="3.6640625" customWidth="1"/>
    <col min="9" max="9" width="2.33203125" customWidth="1"/>
    <col min="10" max="10" width="22.6640625" customWidth="1"/>
    <col min="11" max="11" width="14.6640625" customWidth="1"/>
    <col min="13" max="13" width="13" bestFit="1" customWidth="1"/>
    <col min="15" max="15" width="13" bestFit="1" customWidth="1"/>
  </cols>
  <sheetData>
    <row r="1" spans="1:15" ht="18" thickTop="1" thickBot="1" x14ac:dyDescent="0.25">
      <c r="A1" s="1" t="s">
        <v>0</v>
      </c>
      <c r="B1" s="4" t="s">
        <v>1</v>
      </c>
      <c r="C1" s="10" t="s">
        <v>2</v>
      </c>
    </row>
    <row r="2" spans="1:15" ht="21" thickTop="1" thickBot="1" x14ac:dyDescent="0.25">
      <c r="E2" s="22" t="s">
        <v>0</v>
      </c>
      <c r="F2" s="22" t="s">
        <v>129</v>
      </c>
      <c r="G2" s="22" t="s">
        <v>130</v>
      </c>
      <c r="H2" s="22"/>
      <c r="J2" t="s">
        <v>166</v>
      </c>
      <c r="K2" s="40" t="s">
        <v>168</v>
      </c>
    </row>
    <row r="3" spans="1:15" ht="21" thickTop="1" thickBot="1" x14ac:dyDescent="0.3">
      <c r="E3" s="8">
        <v>1</v>
      </c>
      <c r="F3" s="10" t="s">
        <v>159</v>
      </c>
      <c r="G3" s="10" t="s">
        <v>160</v>
      </c>
      <c r="H3" s="10"/>
      <c r="J3" t="s">
        <v>167</v>
      </c>
      <c r="L3" s="80" t="s">
        <v>47</v>
      </c>
      <c r="M3" s="81"/>
      <c r="N3" s="81"/>
      <c r="O3" s="82"/>
    </row>
    <row r="4" spans="1:15" ht="18" thickTop="1" thickBot="1" x14ac:dyDescent="0.25">
      <c r="A4" s="80" t="s">
        <v>3</v>
      </c>
      <c r="B4" s="81"/>
      <c r="C4" s="82"/>
      <c r="F4" t="s">
        <v>131</v>
      </c>
      <c r="G4" t="s">
        <v>144</v>
      </c>
      <c r="K4" s="41"/>
      <c r="L4" s="86" t="s">
        <v>169</v>
      </c>
      <c r="M4" s="86"/>
      <c r="N4" s="86" t="s">
        <v>170</v>
      </c>
      <c r="O4" s="86"/>
    </row>
    <row r="5" spans="1:15" ht="18" thickTop="1" thickBot="1" x14ac:dyDescent="0.25">
      <c r="F5" t="s">
        <v>132</v>
      </c>
      <c r="G5" t="s">
        <v>145</v>
      </c>
      <c r="J5" s="10" t="s">
        <v>45</v>
      </c>
      <c r="K5" s="27" t="s">
        <v>76</v>
      </c>
    </row>
    <row r="6" spans="1:15" ht="17" thickTop="1" x14ac:dyDescent="0.2">
      <c r="F6" t="s">
        <v>133</v>
      </c>
      <c r="G6" t="s">
        <v>133</v>
      </c>
      <c r="J6" t="s">
        <v>144</v>
      </c>
      <c r="K6" s="15">
        <v>800000</v>
      </c>
      <c r="L6" s="29">
        <v>0.56000000000000005</v>
      </c>
      <c r="M6" s="15">
        <f>+K6*L6</f>
        <v>448000.00000000006</v>
      </c>
      <c r="N6" s="29">
        <f>100%-L6</f>
        <v>0.43999999999999995</v>
      </c>
      <c r="O6" s="15">
        <f>+K6*N6</f>
        <v>351999.99999999994</v>
      </c>
    </row>
    <row r="7" spans="1:15" x14ac:dyDescent="0.2">
      <c r="F7" t="s">
        <v>134</v>
      </c>
      <c r="G7" t="s">
        <v>146</v>
      </c>
      <c r="J7" t="s">
        <v>164</v>
      </c>
      <c r="K7" s="15">
        <v>220000</v>
      </c>
      <c r="L7" s="29">
        <v>0.34</v>
      </c>
      <c r="M7" s="15">
        <f>+K7*L7</f>
        <v>74800</v>
      </c>
      <c r="N7" s="29">
        <f>100%-L7</f>
        <v>0.65999999999999992</v>
      </c>
      <c r="O7" s="15">
        <f>+K7*N7</f>
        <v>145199.99999999997</v>
      </c>
    </row>
    <row r="8" spans="1:15" ht="17" thickBot="1" x14ac:dyDescent="0.25">
      <c r="F8" t="s">
        <v>135</v>
      </c>
      <c r="G8" t="s">
        <v>135</v>
      </c>
    </row>
    <row r="9" spans="1:15" ht="18" thickTop="1" thickBot="1" x14ac:dyDescent="0.25">
      <c r="F9" t="s">
        <v>136</v>
      </c>
      <c r="G9" t="s">
        <v>136</v>
      </c>
      <c r="K9" s="10" t="s">
        <v>76</v>
      </c>
      <c r="M9" s="19">
        <f>SUM(M6:M8)</f>
        <v>522800.00000000006</v>
      </c>
      <c r="O9" s="19">
        <f>SUM(O6:O8)</f>
        <v>497199.99999999988</v>
      </c>
    </row>
    <row r="10" spans="1:15" ht="18" thickTop="1" thickBot="1" x14ac:dyDescent="0.25">
      <c r="F10" t="s">
        <v>137</v>
      </c>
      <c r="G10" t="s">
        <v>147</v>
      </c>
    </row>
    <row r="11" spans="1:15" ht="18" thickTop="1" thickBot="1" x14ac:dyDescent="0.25">
      <c r="F11" t="s">
        <v>139</v>
      </c>
      <c r="G11" t="s">
        <v>148</v>
      </c>
      <c r="J11" s="83" t="s">
        <v>171</v>
      </c>
      <c r="K11" s="84"/>
      <c r="M11">
        <v>30000</v>
      </c>
      <c r="O11">
        <v>27800</v>
      </c>
    </row>
    <row r="12" spans="1:15" ht="18" thickTop="1" thickBot="1" x14ac:dyDescent="0.25">
      <c r="F12" t="s">
        <v>138</v>
      </c>
      <c r="G12" t="s">
        <v>149</v>
      </c>
    </row>
    <row r="13" spans="1:15" ht="18" thickTop="1" thickBot="1" x14ac:dyDescent="0.25">
      <c r="F13" t="s">
        <v>140</v>
      </c>
      <c r="G13" t="s">
        <v>151</v>
      </c>
      <c r="J13" s="83" t="s">
        <v>172</v>
      </c>
      <c r="K13" s="84"/>
      <c r="M13" s="15">
        <f>+M9/M11</f>
        <v>17.426666666666669</v>
      </c>
      <c r="O13" s="15">
        <f>+O9/O11</f>
        <v>17.884892086330932</v>
      </c>
    </row>
    <row r="14" spans="1:15" ht="18" thickTop="1" thickBot="1" x14ac:dyDescent="0.25">
      <c r="F14" t="s">
        <v>141</v>
      </c>
      <c r="G14" t="s">
        <v>141</v>
      </c>
    </row>
    <row r="15" spans="1:15" ht="18" thickTop="1" thickBot="1" x14ac:dyDescent="0.25">
      <c r="F15" t="s">
        <v>143</v>
      </c>
      <c r="G15" t="s">
        <v>152</v>
      </c>
      <c r="L15" s="80" t="s">
        <v>173</v>
      </c>
      <c r="M15" s="81"/>
      <c r="N15" s="81"/>
      <c r="O15" s="82"/>
    </row>
    <row r="16" spans="1:15" ht="18" thickTop="1" thickBot="1" x14ac:dyDescent="0.25">
      <c r="F16" t="s">
        <v>142</v>
      </c>
      <c r="G16" t="s">
        <v>150</v>
      </c>
    </row>
    <row r="17" spans="6:15" ht="18" thickTop="1" thickBot="1" x14ac:dyDescent="0.25">
      <c r="F17" s="10" t="s">
        <v>161</v>
      </c>
      <c r="G17" s="10" t="s">
        <v>162</v>
      </c>
      <c r="K17" s="10" t="s">
        <v>174</v>
      </c>
      <c r="M17" s="15">
        <v>19</v>
      </c>
      <c r="O17" s="15">
        <v>19</v>
      </c>
    </row>
    <row r="18" spans="6:15" ht="18" thickTop="1" thickBot="1" x14ac:dyDescent="0.25">
      <c r="F18" t="s">
        <v>153</v>
      </c>
      <c r="G18" t="s">
        <v>153</v>
      </c>
    </row>
    <row r="19" spans="6:15" ht="18" thickTop="1" thickBot="1" x14ac:dyDescent="0.25">
      <c r="F19" t="s">
        <v>154</v>
      </c>
      <c r="G19" t="s">
        <v>155</v>
      </c>
      <c r="L19" s="10" t="s">
        <v>153</v>
      </c>
      <c r="M19" s="15">
        <f>+M17*M11</f>
        <v>570000</v>
      </c>
      <c r="O19" s="15">
        <f>+O17*O11</f>
        <v>528200</v>
      </c>
    </row>
    <row r="20" spans="6:15" ht="18" thickTop="1" thickBot="1" x14ac:dyDescent="0.25">
      <c r="F20" t="s">
        <v>273</v>
      </c>
      <c r="G20" t="s">
        <v>156</v>
      </c>
      <c r="L20" s="10" t="s">
        <v>82</v>
      </c>
      <c r="M20" s="19">
        <f>+M19-M9</f>
        <v>47199.999999999942</v>
      </c>
      <c r="N20" s="19"/>
      <c r="O20" s="19">
        <f t="shared" ref="O20" si="0">+O19-O9</f>
        <v>31000.000000000116</v>
      </c>
    </row>
    <row r="21" spans="6:15" ht="18" thickTop="1" thickBot="1" x14ac:dyDescent="0.25">
      <c r="F21" t="s">
        <v>274</v>
      </c>
      <c r="G21" t="s">
        <v>157</v>
      </c>
      <c r="L21" s="10" t="s">
        <v>175</v>
      </c>
      <c r="M21" s="85">
        <f>+M20+O20</f>
        <v>78200.000000000058</v>
      </c>
      <c r="N21" s="86"/>
      <c r="O21" s="86"/>
    </row>
    <row r="22" spans="6:15" ht="18" thickTop="1" thickBot="1" x14ac:dyDescent="0.25">
      <c r="F22" t="s">
        <v>275</v>
      </c>
      <c r="G22" t="s">
        <v>158</v>
      </c>
    </row>
    <row r="23" spans="6:15" ht="18" thickTop="1" thickBot="1" x14ac:dyDescent="0.25">
      <c r="F23" t="s">
        <v>34</v>
      </c>
      <c r="G23" t="s">
        <v>34</v>
      </c>
      <c r="L23" s="80" t="s">
        <v>176</v>
      </c>
      <c r="M23" s="81"/>
      <c r="N23" s="81"/>
      <c r="O23" s="82"/>
    </row>
    <row r="24" spans="6:15" ht="18" thickTop="1" thickBot="1" x14ac:dyDescent="0.25">
      <c r="G24" s="10" t="s">
        <v>163</v>
      </c>
    </row>
    <row r="25" spans="6:15" ht="17" thickTop="1" x14ac:dyDescent="0.2">
      <c r="G25" t="s">
        <v>144</v>
      </c>
    </row>
    <row r="26" spans="6:15" x14ac:dyDescent="0.2">
      <c r="G26" t="s">
        <v>164</v>
      </c>
    </row>
  </sheetData>
  <mergeCells count="9">
    <mergeCell ref="L3:O3"/>
    <mergeCell ref="J11:K11"/>
    <mergeCell ref="J13:K13"/>
    <mergeCell ref="L15:O15"/>
    <mergeCell ref="M21:O21"/>
    <mergeCell ref="L23:O23"/>
    <mergeCell ref="A4:C4"/>
    <mergeCell ref="L4:M4"/>
    <mergeCell ref="N4:O4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"/>
  <sheetViews>
    <sheetView topLeftCell="B1" zoomScale="115" zoomScaleNormal="115" zoomScalePageLayoutView="115" workbookViewId="0"/>
  </sheetViews>
  <sheetFormatPr baseColWidth="10" defaultRowHeight="16" x14ac:dyDescent="0.2"/>
  <cols>
    <col min="1" max="3" width="2.33203125" customWidth="1"/>
    <col min="4" max="4" width="3.1640625" customWidth="1"/>
    <col min="5" max="5" width="4.83203125" customWidth="1"/>
    <col min="6" max="6" width="23.83203125" customWidth="1"/>
    <col min="7" max="7" width="22.6640625" customWidth="1"/>
    <col min="8" max="13" width="18.83203125" customWidth="1"/>
    <col min="14" max="14" width="17.5" bestFit="1" customWidth="1"/>
  </cols>
  <sheetData>
    <row r="1" spans="1:14" ht="17" thickBot="1" x14ac:dyDescent="0.25"/>
    <row r="2" spans="1:14" ht="23" thickTop="1" thickBot="1" x14ac:dyDescent="0.3">
      <c r="A2" s="1" t="s">
        <v>0</v>
      </c>
      <c r="B2" s="4" t="s">
        <v>1</v>
      </c>
      <c r="C2" s="10" t="s">
        <v>2</v>
      </c>
      <c r="H2" s="87" t="s">
        <v>179</v>
      </c>
      <c r="I2" s="88"/>
      <c r="J2" s="89"/>
      <c r="K2" s="90" t="s">
        <v>178</v>
      </c>
      <c r="L2" s="91"/>
      <c r="M2" s="92"/>
    </row>
    <row r="3" spans="1:14" ht="21" thickTop="1" thickBot="1" x14ac:dyDescent="0.3">
      <c r="E3" s="24" t="s">
        <v>0</v>
      </c>
      <c r="F3" s="24" t="s">
        <v>180</v>
      </c>
      <c r="G3" s="24" t="s">
        <v>76</v>
      </c>
      <c r="H3" s="8" t="s">
        <v>183</v>
      </c>
      <c r="I3" s="8" t="s">
        <v>184</v>
      </c>
      <c r="J3" s="8" t="s">
        <v>185</v>
      </c>
      <c r="K3" s="24" t="s">
        <v>186</v>
      </c>
      <c r="L3" s="24" t="s">
        <v>182</v>
      </c>
      <c r="M3" s="24" t="s">
        <v>181</v>
      </c>
      <c r="N3" s="42" t="s">
        <v>87</v>
      </c>
    </row>
    <row r="4" spans="1:14" ht="23" thickTop="1" thickBot="1" x14ac:dyDescent="0.3">
      <c r="E4" s="8">
        <v>1</v>
      </c>
      <c r="F4" s="45" t="s">
        <v>144</v>
      </c>
      <c r="G4" s="45">
        <f>SUM(H4:M4)</f>
        <v>1560000</v>
      </c>
      <c r="H4" s="46">
        <v>180000</v>
      </c>
      <c r="I4" s="46">
        <v>420000</v>
      </c>
      <c r="J4" s="46">
        <v>30000</v>
      </c>
      <c r="K4" s="46">
        <v>350000</v>
      </c>
      <c r="L4" s="46">
        <v>300000</v>
      </c>
      <c r="M4" s="46">
        <v>280000</v>
      </c>
      <c r="N4" s="46"/>
    </row>
    <row r="5" spans="1:14" ht="23" thickTop="1" thickBot="1" x14ac:dyDescent="0.3">
      <c r="A5" s="80" t="s">
        <v>3</v>
      </c>
      <c r="B5" s="81"/>
      <c r="C5" s="82"/>
      <c r="E5" s="8">
        <v>2</v>
      </c>
      <c r="F5" s="45" t="s">
        <v>164</v>
      </c>
      <c r="G5" s="45">
        <f>SUM(H5:M5)</f>
        <v>557000</v>
      </c>
      <c r="H5" s="46">
        <v>70000</v>
      </c>
      <c r="I5" s="46">
        <v>190000</v>
      </c>
      <c r="J5" s="46">
        <v>12000</v>
      </c>
      <c r="K5" s="46">
        <v>60000</v>
      </c>
      <c r="L5" s="46">
        <v>55000</v>
      </c>
      <c r="M5" s="46">
        <v>170000</v>
      </c>
      <c r="N5" s="46"/>
    </row>
    <row r="6" spans="1:14" ht="23" thickTop="1" thickBot="1" x14ac:dyDescent="0.3">
      <c r="E6" s="8">
        <v>3</v>
      </c>
      <c r="F6" s="45" t="s">
        <v>76</v>
      </c>
      <c r="G6" s="45">
        <f>SUM(G4:G5)</f>
        <v>2117000</v>
      </c>
      <c r="H6" s="45">
        <f t="shared" ref="H6:M6" si="0">SUM(H4:H5)</f>
        <v>250000</v>
      </c>
      <c r="I6" s="45">
        <f t="shared" si="0"/>
        <v>610000</v>
      </c>
      <c r="J6" s="45">
        <f t="shared" si="0"/>
        <v>42000</v>
      </c>
      <c r="K6" s="45">
        <f t="shared" si="0"/>
        <v>410000</v>
      </c>
      <c r="L6" s="45">
        <f t="shared" si="0"/>
        <v>355000</v>
      </c>
      <c r="M6" s="45">
        <f t="shared" si="0"/>
        <v>450000</v>
      </c>
      <c r="N6" s="46"/>
    </row>
    <row r="7" spans="1:14" ht="23" thickTop="1" thickBot="1" x14ac:dyDescent="0.3">
      <c r="E7" s="8">
        <v>4</v>
      </c>
      <c r="F7" s="45" t="s">
        <v>187</v>
      </c>
      <c r="G7" s="45">
        <v>20000</v>
      </c>
      <c r="H7" s="46"/>
      <c r="I7" s="46"/>
      <c r="J7" s="46"/>
      <c r="K7" s="46">
        <f>-G7</f>
        <v>-20000</v>
      </c>
      <c r="L7" s="46">
        <f>+G7</f>
        <v>20000</v>
      </c>
      <c r="M7" s="46"/>
      <c r="N7" s="46"/>
    </row>
    <row r="8" spans="1:14" ht="23" thickTop="1" thickBot="1" x14ac:dyDescent="0.3">
      <c r="E8" s="8">
        <v>5</v>
      </c>
      <c r="F8" s="45" t="s">
        <v>76</v>
      </c>
      <c r="G8" s="45">
        <f>+G6</f>
        <v>2117000</v>
      </c>
      <c r="H8" s="45">
        <f>+H6+H7</f>
        <v>250000</v>
      </c>
      <c r="I8" s="45">
        <f t="shared" ref="I8:M8" si="1">+I6+I7</f>
        <v>610000</v>
      </c>
      <c r="J8" s="45">
        <f t="shared" si="1"/>
        <v>42000</v>
      </c>
      <c r="K8" s="45">
        <f t="shared" si="1"/>
        <v>390000</v>
      </c>
      <c r="L8" s="45">
        <f t="shared" si="1"/>
        <v>375000</v>
      </c>
      <c r="M8" s="45">
        <f t="shared" si="1"/>
        <v>450000</v>
      </c>
      <c r="N8" s="46"/>
    </row>
    <row r="9" spans="1:14" ht="17" thickTop="1" x14ac:dyDescent="0.2"/>
  </sheetData>
  <mergeCells count="3">
    <mergeCell ref="H2:J2"/>
    <mergeCell ref="K2:M2"/>
    <mergeCell ref="A5:C5"/>
  </mergeCells>
  <pageMargins left="0.75" right="0.75" top="1" bottom="1" header="0.5" footer="0.5"/>
  <pageSetup paperSize="9" orientation="portrait" horizontalDpi="4294967292" verticalDpi="429496729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8"/>
  <sheetViews>
    <sheetView zoomScale="115" zoomScaleNormal="115" zoomScalePageLayoutView="115" workbookViewId="0">
      <selection activeCell="A18" sqref="A18:XFD41"/>
    </sheetView>
  </sheetViews>
  <sheetFormatPr baseColWidth="10" defaultRowHeight="16" x14ac:dyDescent="0.2"/>
  <cols>
    <col min="1" max="3" width="2.33203125" customWidth="1"/>
    <col min="4" max="4" width="3.1640625" customWidth="1"/>
    <col min="5" max="5" width="4.83203125" customWidth="1"/>
    <col min="6" max="6" width="23.83203125" customWidth="1"/>
    <col min="7" max="7" width="22.6640625" customWidth="1"/>
    <col min="8" max="13" width="18.83203125" customWidth="1"/>
    <col min="14" max="14" width="17.5" bestFit="1" customWidth="1"/>
  </cols>
  <sheetData>
    <row r="1" spans="1:14" ht="17" thickBot="1" x14ac:dyDescent="0.25"/>
    <row r="2" spans="1:14" ht="23" thickTop="1" thickBot="1" x14ac:dyDescent="0.3">
      <c r="A2" s="1" t="s">
        <v>0</v>
      </c>
      <c r="B2" s="4" t="s">
        <v>1</v>
      </c>
      <c r="C2" s="10" t="s">
        <v>2</v>
      </c>
      <c r="H2" s="87" t="s">
        <v>179</v>
      </c>
      <c r="I2" s="88"/>
      <c r="J2" s="89"/>
      <c r="K2" s="90" t="s">
        <v>178</v>
      </c>
      <c r="L2" s="91"/>
      <c r="M2" s="92"/>
    </row>
    <row r="3" spans="1:14" ht="21" thickTop="1" thickBot="1" x14ac:dyDescent="0.3">
      <c r="E3" s="24" t="s">
        <v>0</v>
      </c>
      <c r="F3" s="24" t="s">
        <v>180</v>
      </c>
      <c r="G3" s="24" t="s">
        <v>76</v>
      </c>
      <c r="H3" s="8" t="s">
        <v>183</v>
      </c>
      <c r="I3" s="8" t="s">
        <v>184</v>
      </c>
      <c r="J3" s="8" t="s">
        <v>185</v>
      </c>
      <c r="K3" s="24" t="s">
        <v>186</v>
      </c>
      <c r="L3" s="24" t="s">
        <v>182</v>
      </c>
      <c r="M3" s="24" t="s">
        <v>181</v>
      </c>
      <c r="N3" s="42" t="s">
        <v>87</v>
      </c>
    </row>
    <row r="4" spans="1:14" ht="23" thickTop="1" thickBot="1" x14ac:dyDescent="0.3">
      <c r="E4" s="8">
        <v>1</v>
      </c>
      <c r="F4" s="45" t="s">
        <v>144</v>
      </c>
      <c r="G4" s="45">
        <f>SUM(H4:M4)</f>
        <v>1560000</v>
      </c>
      <c r="H4" s="46">
        <v>180000</v>
      </c>
      <c r="I4" s="46">
        <v>420000</v>
      </c>
      <c r="J4" s="46">
        <v>30000</v>
      </c>
      <c r="K4" s="46">
        <v>350000</v>
      </c>
      <c r="L4" s="46">
        <v>300000</v>
      </c>
      <c r="M4" s="46">
        <v>280000</v>
      </c>
      <c r="N4" s="46"/>
    </row>
    <row r="5" spans="1:14" ht="23" thickTop="1" thickBot="1" x14ac:dyDescent="0.3">
      <c r="A5" s="80" t="s">
        <v>3</v>
      </c>
      <c r="B5" s="81"/>
      <c r="C5" s="82"/>
      <c r="E5" s="8">
        <v>2</v>
      </c>
      <c r="F5" s="45" t="s">
        <v>164</v>
      </c>
      <c r="G5" s="45">
        <f>SUM(H5:M5)</f>
        <v>557000</v>
      </c>
      <c r="H5" s="46">
        <v>70000</v>
      </c>
      <c r="I5" s="46">
        <v>190000</v>
      </c>
      <c r="J5" s="46">
        <v>12000</v>
      </c>
      <c r="K5" s="46">
        <v>60000</v>
      </c>
      <c r="L5" s="46">
        <v>55000</v>
      </c>
      <c r="M5" s="46">
        <v>170000</v>
      </c>
      <c r="N5" s="46"/>
    </row>
    <row r="6" spans="1:14" ht="23" thickTop="1" thickBot="1" x14ac:dyDescent="0.3">
      <c r="E6" s="8">
        <v>3</v>
      </c>
      <c r="F6" s="45" t="s">
        <v>76</v>
      </c>
      <c r="G6" s="45">
        <f>SUM(G4:G5)</f>
        <v>2117000</v>
      </c>
      <c r="H6" s="45">
        <f t="shared" ref="H6:M6" si="0">SUM(H4:H5)</f>
        <v>250000</v>
      </c>
      <c r="I6" s="45">
        <f t="shared" si="0"/>
        <v>610000</v>
      </c>
      <c r="J6" s="45">
        <f t="shared" si="0"/>
        <v>42000</v>
      </c>
      <c r="K6" s="45">
        <f t="shared" si="0"/>
        <v>410000</v>
      </c>
      <c r="L6" s="45">
        <f t="shared" si="0"/>
        <v>355000</v>
      </c>
      <c r="M6" s="45">
        <f t="shared" si="0"/>
        <v>450000</v>
      </c>
      <c r="N6" s="46"/>
    </row>
    <row r="7" spans="1:14" ht="23" thickTop="1" thickBot="1" x14ac:dyDescent="0.3">
      <c r="E7" s="8">
        <v>4</v>
      </c>
      <c r="F7" s="45" t="s">
        <v>187</v>
      </c>
      <c r="G7" s="45">
        <v>20000</v>
      </c>
      <c r="H7" s="46"/>
      <c r="I7" s="46"/>
      <c r="J7" s="46"/>
      <c r="K7" s="46">
        <f>-G7</f>
        <v>-20000</v>
      </c>
      <c r="L7" s="46">
        <f>+G7</f>
        <v>20000</v>
      </c>
      <c r="M7" s="46"/>
      <c r="N7" s="46"/>
    </row>
    <row r="8" spans="1:14" ht="23" thickTop="1" thickBot="1" x14ac:dyDescent="0.3">
      <c r="E8" s="8">
        <v>5</v>
      </c>
      <c r="F8" s="45" t="s">
        <v>76</v>
      </c>
      <c r="G8" s="45">
        <f>+G6</f>
        <v>2117000</v>
      </c>
      <c r="H8" s="45">
        <f>+H6+H7</f>
        <v>250000</v>
      </c>
      <c r="I8" s="45">
        <f t="shared" ref="I8:M8" si="1">+I6+I7</f>
        <v>610000</v>
      </c>
      <c r="J8" s="45">
        <f t="shared" si="1"/>
        <v>42000</v>
      </c>
      <c r="K8" s="45">
        <f t="shared" si="1"/>
        <v>390000</v>
      </c>
      <c r="L8" s="45">
        <f t="shared" si="1"/>
        <v>375000</v>
      </c>
      <c r="M8" s="45">
        <f t="shared" si="1"/>
        <v>450000</v>
      </c>
      <c r="N8" s="46"/>
    </row>
    <row r="9" spans="1:14" ht="23" thickTop="1" thickBot="1" x14ac:dyDescent="0.3">
      <c r="E9" s="8">
        <v>6</v>
      </c>
      <c r="F9" s="45" t="s">
        <v>188</v>
      </c>
      <c r="G9" s="51">
        <f>+K9+L9+M9</f>
        <v>1</v>
      </c>
      <c r="H9" s="53"/>
      <c r="I9" s="53"/>
      <c r="J9" s="53"/>
      <c r="K9" s="47">
        <v>0.5</v>
      </c>
      <c r="L9" s="47">
        <v>0.35</v>
      </c>
      <c r="M9" s="47">
        <v>0.15</v>
      </c>
      <c r="N9" s="46"/>
    </row>
    <row r="10" spans="1:14" ht="23" thickTop="1" thickBot="1" x14ac:dyDescent="0.3">
      <c r="E10" s="8">
        <v>7</v>
      </c>
      <c r="F10" s="45" t="s">
        <v>184</v>
      </c>
      <c r="G10" s="51">
        <f>+K10+L10</f>
        <v>1</v>
      </c>
      <c r="H10" s="53"/>
      <c r="I10" s="53"/>
      <c r="J10" s="53"/>
      <c r="K10" s="48">
        <v>0.5</v>
      </c>
      <c r="L10" s="48">
        <v>0.5</v>
      </c>
      <c r="M10" s="47">
        <v>0</v>
      </c>
      <c r="N10" s="46"/>
    </row>
    <row r="11" spans="1:14" ht="23" thickTop="1" thickBot="1" x14ac:dyDescent="0.3">
      <c r="E11" s="8">
        <v>8</v>
      </c>
      <c r="F11" s="45" t="s">
        <v>185</v>
      </c>
      <c r="G11" s="52">
        <f>+K11+L11</f>
        <v>10</v>
      </c>
      <c r="H11" s="53"/>
      <c r="I11" s="53"/>
      <c r="J11" s="53"/>
      <c r="K11" s="50">
        <v>6</v>
      </c>
      <c r="L11" s="50">
        <v>4</v>
      </c>
      <c r="M11" s="47">
        <v>0</v>
      </c>
      <c r="N11" s="46"/>
    </row>
    <row r="12" spans="1:14" ht="23" thickTop="1" thickBot="1" x14ac:dyDescent="0.3">
      <c r="E12" s="8">
        <v>9</v>
      </c>
      <c r="F12" s="45"/>
      <c r="G12" s="45"/>
      <c r="H12" s="45"/>
      <c r="I12" s="45"/>
      <c r="J12" s="45"/>
      <c r="K12" s="45"/>
      <c r="L12" s="45"/>
      <c r="M12" s="45"/>
      <c r="N12" s="46"/>
    </row>
    <row r="13" spans="1:14" ht="23" thickTop="1" thickBot="1" x14ac:dyDescent="0.3">
      <c r="E13" s="8">
        <v>10</v>
      </c>
      <c r="F13" s="45" t="s">
        <v>190</v>
      </c>
      <c r="G13" s="45">
        <f>+H8</f>
        <v>250000</v>
      </c>
      <c r="H13" s="53"/>
      <c r="I13" s="53"/>
      <c r="J13" s="53"/>
      <c r="K13" s="46">
        <f>+$G$13/$G$9*K9</f>
        <v>125000</v>
      </c>
      <c r="L13" s="46">
        <f t="shared" ref="L13:M13" si="2">+$G$13/$G$9*L9</f>
        <v>87500</v>
      </c>
      <c r="M13" s="46">
        <f t="shared" si="2"/>
        <v>37500</v>
      </c>
      <c r="N13" s="46">
        <f>SUM(K13:M13)</f>
        <v>250000</v>
      </c>
    </row>
    <row r="14" spans="1:14" ht="23" thickTop="1" thickBot="1" x14ac:dyDescent="0.3">
      <c r="E14" s="8">
        <v>11</v>
      </c>
      <c r="F14" s="45" t="s">
        <v>191</v>
      </c>
      <c r="G14" s="45">
        <f>+I8</f>
        <v>610000</v>
      </c>
      <c r="H14" s="53"/>
      <c r="I14" s="53"/>
      <c r="J14" s="53"/>
      <c r="K14" s="46">
        <f>+$G$14/$G$10*K10</f>
        <v>305000</v>
      </c>
      <c r="L14" s="46">
        <f t="shared" ref="L14:M14" si="3">+$G$14/$G$10*L10</f>
        <v>305000</v>
      </c>
      <c r="M14" s="46">
        <f t="shared" si="3"/>
        <v>0</v>
      </c>
      <c r="N14" s="46">
        <f t="shared" ref="N14:N15" si="4">SUM(K14:M14)</f>
        <v>610000</v>
      </c>
    </row>
    <row r="15" spans="1:14" ht="23" thickTop="1" thickBot="1" x14ac:dyDescent="0.3">
      <c r="E15" s="8">
        <v>12</v>
      </c>
      <c r="F15" s="45" t="s">
        <v>192</v>
      </c>
      <c r="G15" s="45">
        <f>+J8</f>
        <v>42000</v>
      </c>
      <c r="H15" s="53"/>
      <c r="I15" s="53"/>
      <c r="J15" s="53"/>
      <c r="K15" s="46">
        <f>+$G$15/$G$11*K11</f>
        <v>25200</v>
      </c>
      <c r="L15" s="46">
        <f t="shared" ref="L15:M15" si="5">+$G$15/$G$11*L11</f>
        <v>16800</v>
      </c>
      <c r="M15" s="46">
        <f t="shared" si="5"/>
        <v>0</v>
      </c>
      <c r="N15" s="46">
        <f t="shared" si="4"/>
        <v>42000</v>
      </c>
    </row>
    <row r="16" spans="1:14" ht="23" thickTop="1" thickBot="1" x14ac:dyDescent="0.3">
      <c r="E16" s="8">
        <v>13</v>
      </c>
      <c r="F16" s="45" t="s">
        <v>76</v>
      </c>
      <c r="G16" s="45">
        <f>SUM(H16:M16)</f>
        <v>2117000</v>
      </c>
      <c r="H16" s="45">
        <v>0</v>
      </c>
      <c r="I16" s="45">
        <v>0</v>
      </c>
      <c r="J16" s="45">
        <v>0</v>
      </c>
      <c r="K16" s="45">
        <f>+K8+K13+K14+K15</f>
        <v>845200</v>
      </c>
      <c r="L16" s="45">
        <f t="shared" ref="L16:M16" si="6">+L8+L13+L14+L15</f>
        <v>784300</v>
      </c>
      <c r="M16" s="45">
        <f t="shared" si="6"/>
        <v>487500</v>
      </c>
      <c r="N16" s="46"/>
    </row>
    <row r="17" spans="5:14" ht="23" thickTop="1" thickBot="1" x14ac:dyDescent="0.3">
      <c r="E17" s="8">
        <v>14</v>
      </c>
      <c r="F17" s="87" t="s">
        <v>193</v>
      </c>
      <c r="G17" s="88"/>
      <c r="H17" s="88"/>
      <c r="I17" s="88"/>
      <c r="J17" s="88"/>
      <c r="K17" s="88"/>
      <c r="L17" s="88"/>
      <c r="M17" s="89"/>
      <c r="N17" s="46"/>
    </row>
    <row r="18" spans="5:14" ht="17" thickTop="1" x14ac:dyDescent="0.2"/>
  </sheetData>
  <mergeCells count="4">
    <mergeCell ref="A5:C5"/>
    <mergeCell ref="K2:M2"/>
    <mergeCell ref="H2:J2"/>
    <mergeCell ref="F17:M17"/>
  </mergeCells>
  <pageMargins left="0.75" right="0.75" top="1" bottom="1" header="0.5" footer="0.5"/>
  <pageSetup paperSize="9" orientation="portrait" horizontalDpi="4294967292" verticalDpi="4294967292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21</vt:i4>
      </vt:variant>
    </vt:vector>
  </HeadingPairs>
  <TitlesOfParts>
    <vt:vector size="21" baseType="lpstr">
      <vt:lpstr>Start</vt:lpstr>
      <vt:lpstr>Agenda</vt:lpstr>
      <vt:lpstr>Kennzahlen</vt:lpstr>
      <vt:lpstr>Umsatzsteuer</vt:lpstr>
      <vt:lpstr>Abschreibung</vt:lpstr>
      <vt:lpstr>Finanzbuchhaltung</vt:lpstr>
      <vt:lpstr>System KoRe</vt:lpstr>
      <vt:lpstr>BAB</vt:lpstr>
      <vt:lpstr>Anbauverfahren</vt:lpstr>
      <vt:lpstr>Stufenleiterverf.</vt:lpstr>
      <vt:lpstr>Gleichungsverf.</vt:lpstr>
      <vt:lpstr>Divisionskalk.</vt:lpstr>
      <vt:lpstr>Äquivalenzzkalk.</vt:lpstr>
      <vt:lpstr>ZK BAB</vt:lpstr>
      <vt:lpstr>ZK Einzelk.</vt:lpstr>
      <vt:lpstr>ZK Kalk.</vt:lpstr>
      <vt:lpstr>DB</vt:lpstr>
      <vt:lpstr>BreakEven</vt:lpstr>
      <vt:lpstr>Stufenw.Fixk.DB_R.</vt:lpstr>
      <vt:lpstr>Glossar</vt:lpstr>
      <vt:lpstr>Gliederung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Prof. Dr. Werner Heister</dc:creator>
  <cp:lastModifiedBy>WH</cp:lastModifiedBy>
  <dcterms:created xsi:type="dcterms:W3CDTF">2015-03-08T07:57:07Z</dcterms:created>
  <dcterms:modified xsi:type="dcterms:W3CDTF">2016-03-22T09:41:01Z</dcterms:modified>
</cp:coreProperties>
</file>